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1. 15 ธ.ค. 66\"/>
    </mc:Choice>
  </mc:AlternateContent>
  <xr:revisionPtr revIDLastSave="0" documentId="13_ncr:1_{C48F5F42-89E4-4CB2-94E8-54C4D4B5F66A}" xr6:coauthVersionLast="37" xr6:coauthVersionMax="37" xr10:uidLastSave="{00000000-0000-0000-0000-000000000000}"/>
  <bookViews>
    <workbookView xWindow="0" yWindow="0" windowWidth="24000" windowHeight="9525" firstSheet="3" activeTab="13" xr2:uid="{00000000-000D-0000-FFFF-FFFF00000000}"/>
  </bookViews>
  <sheets>
    <sheet name="กระบี่" sheetId="1" r:id="rId1"/>
    <sheet name="ชุมพร" sheetId="2" r:id="rId2"/>
    <sheet name="ตรัง" sheetId="3" r:id="rId3"/>
    <sheet name="นครศรีธรรมราช" sheetId="4" r:id="rId4"/>
    <sheet name="นราธิวาส" sheetId="5" r:id="rId5"/>
    <sheet name="ปัตตานี" sheetId="6" r:id="rId6"/>
    <sheet name="พังงา" sheetId="7" r:id="rId7"/>
    <sheet name="พัทลุง" sheetId="8" r:id="rId8"/>
    <sheet name="ภูเก็ต" sheetId="9" r:id="rId9"/>
    <sheet name="ยะลา" sheetId="10" r:id="rId10"/>
    <sheet name="ระนอง" sheetId="11" r:id="rId11"/>
    <sheet name="สงขลา" sheetId="12" r:id="rId12"/>
    <sheet name="สตูล" sheetId="13" r:id="rId13"/>
    <sheet name="สุราษฎร์ธานี" sheetId="14" r:id="rId14"/>
  </sheets>
  <definedNames>
    <definedName name="_xlnm.Print_Titles" localSheetId="0">กระบี่!$1:$6</definedName>
    <definedName name="_xlnm.Print_Titles" localSheetId="1">ชุมพร!$1:$6</definedName>
    <definedName name="_xlnm.Print_Titles" localSheetId="2">ตรัง!$1:$6</definedName>
    <definedName name="_xlnm.Print_Titles" localSheetId="3">นครศรีธรรมราช!$1:$6</definedName>
    <definedName name="_xlnm.Print_Titles" localSheetId="4">นราธิวาส!$1:$6</definedName>
    <definedName name="_xlnm.Print_Titles" localSheetId="5">ปัตตานี!$1:$6</definedName>
    <definedName name="_xlnm.Print_Titles" localSheetId="6">พังงา!$1:$6</definedName>
    <definedName name="_xlnm.Print_Titles" localSheetId="7">พัทลุง!$1:$6</definedName>
    <definedName name="_xlnm.Print_Titles" localSheetId="8">ภูเก็ต!$1:$6</definedName>
    <definedName name="_xlnm.Print_Titles" localSheetId="9">ยะลา!$1:$6</definedName>
    <definedName name="_xlnm.Print_Titles" localSheetId="10">ระนอง!$1:$6</definedName>
    <definedName name="_xlnm.Print_Titles" localSheetId="11">สงขลา!$1:$6</definedName>
    <definedName name="_xlnm.Print_Titles" localSheetId="12">สตูล!$1:$6</definedName>
    <definedName name="_xlnm.Print_Titles" localSheetId="13">สุราษฎร์ธานี!$1:$6</definedName>
  </definedNames>
  <calcPr calcId="179021"/>
</workbook>
</file>

<file path=xl/calcChain.xml><?xml version="1.0" encoding="utf-8"?>
<calcChain xmlns="http://schemas.openxmlformats.org/spreadsheetml/2006/main">
  <c r="L22" i="14" l="1"/>
  <c r="O22" i="14" s="1"/>
  <c r="M22" i="14"/>
  <c r="M19" i="14" s="1"/>
  <c r="N22" i="14"/>
  <c r="L25" i="14"/>
  <c r="M25" i="14"/>
  <c r="N25" i="14"/>
  <c r="P25" i="14"/>
  <c r="L45" i="14"/>
  <c r="M45" i="14"/>
  <c r="P45" i="14" s="1"/>
  <c r="N45" i="14"/>
  <c r="O45" i="14"/>
  <c r="O48" i="14"/>
  <c r="P48" i="14"/>
  <c r="L49" i="14"/>
  <c r="M49" i="14"/>
  <c r="N49" i="14"/>
  <c r="O51" i="14"/>
  <c r="P51" i="14"/>
  <c r="L52" i="14"/>
  <c r="O52" i="14" s="1"/>
  <c r="M52" i="14"/>
  <c r="M50" i="14" s="1"/>
  <c r="P50" i="14" s="1"/>
  <c r="N52" i="14"/>
  <c r="N50" i="14" s="1"/>
  <c r="L60" i="14"/>
  <c r="M60" i="14"/>
  <c r="N60" i="14"/>
  <c r="O63" i="14"/>
  <c r="P63" i="14"/>
  <c r="L64" i="14"/>
  <c r="L62" i="14" s="1"/>
  <c r="M64" i="14"/>
  <c r="M62" i="14" s="1"/>
  <c r="N64" i="14"/>
  <c r="O66" i="14"/>
  <c r="P66" i="14"/>
  <c r="L67" i="14"/>
  <c r="L65" i="14" s="1"/>
  <c r="O65" i="14" s="1"/>
  <c r="M67" i="14"/>
  <c r="M65" i="14" s="1"/>
  <c r="P65" i="14" s="1"/>
  <c r="N67" i="14"/>
  <c r="N65" i="14" s="1"/>
  <c r="L73" i="14"/>
  <c r="M73" i="14"/>
  <c r="N73" i="14"/>
  <c r="O73" i="14"/>
  <c r="P73" i="14"/>
  <c r="O76" i="14"/>
  <c r="P76" i="14"/>
  <c r="L77" i="14"/>
  <c r="M77" i="14"/>
  <c r="M75" i="14" s="1"/>
  <c r="P75" i="14" s="1"/>
  <c r="N77" i="14"/>
  <c r="O79" i="14"/>
  <c r="P79" i="14"/>
  <c r="L80" i="14"/>
  <c r="L78" i="14" s="1"/>
  <c r="O78" i="14" s="1"/>
  <c r="M80" i="14"/>
  <c r="M78" i="14" s="1"/>
  <c r="P78" i="14" s="1"/>
  <c r="N80" i="14"/>
  <c r="N78" i="14" s="1"/>
  <c r="J82" i="14"/>
  <c r="J70" i="14" s="1"/>
  <c r="J83" i="14"/>
  <c r="J71" i="14" s="1"/>
  <c r="I84" i="14"/>
  <c r="K84" i="14" s="1"/>
  <c r="I85" i="14"/>
  <c r="I86" i="14"/>
  <c r="I87" i="14"/>
  <c r="K87" i="14" s="1"/>
  <c r="I88" i="14"/>
  <c r="K88" i="14" s="1"/>
  <c r="I89" i="14"/>
  <c r="K89" i="14" s="1"/>
  <c r="I90" i="14"/>
  <c r="K90" i="14" s="1"/>
  <c r="J92" i="14"/>
  <c r="J93" i="14"/>
  <c r="L95" i="14"/>
  <c r="M95" i="14"/>
  <c r="N95" i="14"/>
  <c r="O95" i="14"/>
  <c r="P95" i="14"/>
  <c r="O98" i="14"/>
  <c r="P98" i="14"/>
  <c r="L99" i="14"/>
  <c r="L97" i="14" s="1"/>
  <c r="O97" i="14" s="1"/>
  <c r="M99" i="14"/>
  <c r="N99" i="14"/>
  <c r="N97" i="14" s="1"/>
  <c r="O101" i="14"/>
  <c r="P101" i="14"/>
  <c r="L102" i="14"/>
  <c r="O102" i="14" s="1"/>
  <c r="M102" i="14"/>
  <c r="M100" i="14" s="1"/>
  <c r="P100" i="14" s="1"/>
  <c r="N102" i="14"/>
  <c r="N100" i="14" s="1"/>
  <c r="I108" i="14"/>
  <c r="I92" i="14" s="1"/>
  <c r="K92" i="14" s="1"/>
  <c r="I109" i="14"/>
  <c r="I93" i="14" s="1"/>
  <c r="K93" i="14" s="1"/>
  <c r="I117" i="14"/>
  <c r="K117" i="14" s="1"/>
  <c r="L126" i="14"/>
  <c r="O126" i="14" s="1"/>
  <c r="M126" i="14"/>
  <c r="P126" i="14" s="1"/>
  <c r="N126" i="14"/>
  <c r="O129" i="14"/>
  <c r="P129" i="14"/>
  <c r="L130" i="14"/>
  <c r="L128" i="14" s="1"/>
  <c r="O128" i="14" s="1"/>
  <c r="M130" i="14"/>
  <c r="P130" i="14" s="1"/>
  <c r="N130" i="14"/>
  <c r="N128" i="14" s="1"/>
  <c r="O132" i="14"/>
  <c r="P132" i="14"/>
  <c r="L133" i="14"/>
  <c r="L131" i="14" s="1"/>
  <c r="O131" i="14" s="1"/>
  <c r="M133" i="14"/>
  <c r="P133" i="14" s="1"/>
  <c r="N133" i="14"/>
  <c r="N131" i="14" s="1"/>
  <c r="J136" i="14"/>
  <c r="J137" i="14"/>
  <c r="J138" i="14"/>
  <c r="L140" i="14"/>
  <c r="O140" i="14" s="1"/>
  <c r="M140" i="14"/>
  <c r="P140" i="14" s="1"/>
  <c r="N140" i="14"/>
  <c r="O143" i="14"/>
  <c r="P143" i="14"/>
  <c r="L144" i="14"/>
  <c r="L142" i="14" s="1"/>
  <c r="M144" i="14"/>
  <c r="M142" i="14" s="1"/>
  <c r="N144" i="14"/>
  <c r="N142" i="14" s="1"/>
  <c r="O146" i="14"/>
  <c r="P146" i="14"/>
  <c r="L147" i="14"/>
  <c r="L145" i="14" s="1"/>
  <c r="O145" i="14" s="1"/>
  <c r="M147" i="14"/>
  <c r="P147" i="14" s="1"/>
  <c r="N147" i="14"/>
  <c r="N145" i="14" s="1"/>
  <c r="I150" i="14"/>
  <c r="K150" i="14" s="1"/>
  <c r="I151" i="14"/>
  <c r="K151" i="14" s="1"/>
  <c r="I152" i="14"/>
  <c r="K152" i="14" s="1"/>
  <c r="I153" i="14"/>
  <c r="K153" i="14" s="1"/>
  <c r="I154" i="14"/>
  <c r="I136" i="14" s="1"/>
  <c r="K136" i="14" s="1"/>
  <c r="J156" i="14"/>
  <c r="L158" i="14"/>
  <c r="O158" i="14" s="1"/>
  <c r="M158" i="14"/>
  <c r="N158" i="14"/>
  <c r="P158" i="14"/>
  <c r="O161" i="14"/>
  <c r="P161" i="14"/>
  <c r="L162" i="14"/>
  <c r="M162" i="14"/>
  <c r="M160" i="14" s="1"/>
  <c r="P160" i="14" s="1"/>
  <c r="N162" i="14"/>
  <c r="N160" i="14" s="1"/>
  <c r="O164" i="14"/>
  <c r="P164" i="14"/>
  <c r="L165" i="14"/>
  <c r="L163" i="14" s="1"/>
  <c r="O163" i="14" s="1"/>
  <c r="M165" i="14"/>
  <c r="M163" i="14" s="1"/>
  <c r="P163" i="14" s="1"/>
  <c r="N165" i="14"/>
  <c r="N163" i="14" s="1"/>
  <c r="I167" i="14"/>
  <c r="I156" i="14" s="1"/>
  <c r="K156" i="14" s="1"/>
  <c r="J172" i="14"/>
  <c r="L174" i="14"/>
  <c r="M174" i="14"/>
  <c r="P174" i="14" s="1"/>
  <c r="N174" i="14"/>
  <c r="O177" i="14"/>
  <c r="P177" i="14"/>
  <c r="L178" i="14"/>
  <c r="M178" i="14"/>
  <c r="M176" i="14" s="1"/>
  <c r="N178" i="14"/>
  <c r="N176" i="14" s="1"/>
  <c r="O180" i="14"/>
  <c r="P180" i="14"/>
  <c r="L181" i="14"/>
  <c r="L179" i="14" s="1"/>
  <c r="O179" i="14" s="1"/>
  <c r="M181" i="14"/>
  <c r="M179" i="14" s="1"/>
  <c r="P179" i="14" s="1"/>
  <c r="N181" i="14"/>
  <c r="N179" i="14" s="1"/>
  <c r="I183" i="14"/>
  <c r="K183" i="14" s="1"/>
  <c r="K184" i="14"/>
  <c r="L187" i="14"/>
  <c r="O187" i="14" s="1"/>
  <c r="M187" i="14"/>
  <c r="N187" i="14"/>
  <c r="O190" i="14"/>
  <c r="P190" i="14"/>
  <c r="L191" i="14"/>
  <c r="L189" i="14" s="1"/>
  <c r="M191" i="14"/>
  <c r="M189" i="14" s="1"/>
  <c r="N191" i="14"/>
  <c r="N189" i="14" s="1"/>
  <c r="O193" i="14"/>
  <c r="P193" i="14"/>
  <c r="L194" i="14"/>
  <c r="O194" i="14" s="1"/>
  <c r="M194" i="14"/>
  <c r="M192" i="14" s="1"/>
  <c r="P192" i="14" s="1"/>
  <c r="N194" i="14"/>
  <c r="J195" i="14"/>
  <c r="L196" i="14"/>
  <c r="O196" i="14" s="1"/>
  <c r="P196" i="14"/>
  <c r="I198" i="14"/>
  <c r="I195" i="14" s="1"/>
  <c r="K195" i="14" s="1"/>
  <c r="J199" i="14"/>
  <c r="J202" i="14"/>
  <c r="N203" i="14"/>
  <c r="P203" i="14"/>
  <c r="L204" i="14"/>
  <c r="L205" i="14"/>
  <c r="L206" i="14"/>
  <c r="L207" i="14"/>
  <c r="I209" i="14"/>
  <c r="K209" i="14" s="1"/>
  <c r="I211" i="14"/>
  <c r="K211" i="14" s="1"/>
  <c r="I212" i="14"/>
  <c r="K212" i="14" s="1"/>
  <c r="J213" i="14"/>
  <c r="N214" i="14"/>
  <c r="P214" i="14"/>
  <c r="L215" i="14"/>
  <c r="L216" i="14"/>
  <c r="L217" i="14"/>
  <c r="I219" i="14"/>
  <c r="K219" i="14" s="1"/>
  <c r="I220" i="14"/>
  <c r="K220" i="14" s="1"/>
  <c r="J221" i="14"/>
  <c r="N222" i="14"/>
  <c r="P222" i="14"/>
  <c r="L223" i="14"/>
  <c r="L224" i="14"/>
  <c r="L225" i="14"/>
  <c r="I228" i="14"/>
  <c r="K228" i="14" s="1"/>
  <c r="I229" i="14"/>
  <c r="I221" i="14" s="1"/>
  <c r="K221" i="14" s="1"/>
  <c r="I230" i="14"/>
  <c r="J231" i="14"/>
  <c r="J185" i="14" s="1"/>
  <c r="N233" i="14"/>
  <c r="N234" i="14"/>
  <c r="N235" i="14"/>
  <c r="N236" i="14"/>
  <c r="J238" i="14"/>
  <c r="I240" i="14"/>
  <c r="K240" i="14" s="1"/>
  <c r="J240" i="14"/>
  <c r="I241" i="14"/>
  <c r="K241" i="14" s="1"/>
  <c r="J241" i="14"/>
  <c r="J242" i="14"/>
  <c r="N243" i="14"/>
  <c r="N232" i="14" s="1"/>
  <c r="P243" i="14"/>
  <c r="L244" i="14"/>
  <c r="L245" i="14"/>
  <c r="L246" i="14"/>
  <c r="L247" i="14"/>
  <c r="I249" i="14"/>
  <c r="K251" i="14"/>
  <c r="K252" i="14"/>
  <c r="J253" i="14"/>
  <c r="N254" i="14"/>
  <c r="P254" i="14"/>
  <c r="L255" i="14"/>
  <c r="L256" i="14"/>
  <c r="L257" i="14"/>
  <c r="L258" i="14"/>
  <c r="I260" i="14"/>
  <c r="I253" i="14" s="1"/>
  <c r="K253" i="14" s="1"/>
  <c r="K262" i="14"/>
  <c r="K263" i="14"/>
  <c r="I265" i="14"/>
  <c r="K265" i="14" s="1"/>
  <c r="J265" i="14"/>
  <c r="L267" i="14"/>
  <c r="O267" i="14" s="1"/>
  <c r="M267" i="14"/>
  <c r="N267" i="14"/>
  <c r="O270" i="14"/>
  <c r="P270" i="14"/>
  <c r="L271" i="14"/>
  <c r="O271" i="14" s="1"/>
  <c r="M271" i="14"/>
  <c r="M269" i="14" s="1"/>
  <c r="P269" i="14" s="1"/>
  <c r="N271" i="14"/>
  <c r="N269" i="14" s="1"/>
  <c r="O273" i="14"/>
  <c r="P273" i="14"/>
  <c r="L274" i="14"/>
  <c r="O274" i="14" s="1"/>
  <c r="M274" i="14"/>
  <c r="M272" i="14" s="1"/>
  <c r="P272" i="14" s="1"/>
  <c r="N274" i="14"/>
  <c r="J281" i="14"/>
  <c r="L283" i="14"/>
  <c r="O283" i="14" s="1"/>
  <c r="M283" i="14"/>
  <c r="N283" i="14"/>
  <c r="O286" i="14"/>
  <c r="P286" i="14"/>
  <c r="L287" i="14"/>
  <c r="L285" i="14" s="1"/>
  <c r="M287" i="14"/>
  <c r="M285" i="14" s="1"/>
  <c r="N287" i="14"/>
  <c r="O289" i="14"/>
  <c r="P289" i="14"/>
  <c r="L290" i="14"/>
  <c r="L288" i="14" s="1"/>
  <c r="O288" i="14" s="1"/>
  <c r="M290" i="14"/>
  <c r="M288" i="14" s="1"/>
  <c r="P288" i="14" s="1"/>
  <c r="N290" i="14"/>
  <c r="N288" i="14" s="1"/>
  <c r="I292" i="14"/>
  <c r="K292" i="14" s="1"/>
  <c r="I293" i="14"/>
  <c r="J293" i="14"/>
  <c r="J280" i="14" s="1"/>
  <c r="I295" i="14"/>
  <c r="K295" i="14" s="1"/>
  <c r="I296" i="14"/>
  <c r="K296" i="14" s="1"/>
  <c r="J302" i="14"/>
  <c r="L304" i="14"/>
  <c r="M304" i="14"/>
  <c r="N304" i="14"/>
  <c r="O304" i="14"/>
  <c r="P304" i="14"/>
  <c r="O307" i="14"/>
  <c r="P307" i="14"/>
  <c r="L308" i="14"/>
  <c r="M308" i="14"/>
  <c r="M306" i="14" s="1"/>
  <c r="N308" i="14"/>
  <c r="O310" i="14"/>
  <c r="P310" i="14"/>
  <c r="L311" i="14"/>
  <c r="O311" i="14" s="1"/>
  <c r="M311" i="14"/>
  <c r="M309" i="14" s="1"/>
  <c r="P309" i="14" s="1"/>
  <c r="N311" i="14"/>
  <c r="N309" i="14" s="1"/>
  <c r="I314" i="14"/>
  <c r="K314" i="14" s="1"/>
  <c r="I315" i="14"/>
  <c r="K315" i="14" s="1"/>
  <c r="I316" i="14"/>
  <c r="K316" i="14" s="1"/>
  <c r="I317" i="14"/>
  <c r="K317" i="14" s="1"/>
  <c r="J319" i="14"/>
  <c r="L321" i="14"/>
  <c r="O321" i="14" s="1"/>
  <c r="M321" i="14"/>
  <c r="N321" i="14"/>
  <c r="O324" i="14"/>
  <c r="P324" i="14"/>
  <c r="L325" i="14"/>
  <c r="L323" i="14" s="1"/>
  <c r="M325" i="14"/>
  <c r="M323" i="14" s="1"/>
  <c r="N325" i="14"/>
  <c r="N323" i="14" s="1"/>
  <c r="O327" i="14"/>
  <c r="P327" i="14"/>
  <c r="L328" i="14"/>
  <c r="L326" i="14" s="1"/>
  <c r="O326" i="14" s="1"/>
  <c r="M328" i="14"/>
  <c r="P328" i="14" s="1"/>
  <c r="N328" i="14"/>
  <c r="N326" i="14" s="1"/>
  <c r="I330" i="14"/>
  <c r="K330" i="14" s="1"/>
  <c r="L334" i="14"/>
  <c r="M334" i="14"/>
  <c r="P334" i="14" s="1"/>
  <c r="N334" i="14"/>
  <c r="O334" i="14"/>
  <c r="O337" i="14"/>
  <c r="P337" i="14"/>
  <c r="L338" i="14"/>
  <c r="L336" i="14" s="1"/>
  <c r="M338" i="14"/>
  <c r="M336" i="14" s="1"/>
  <c r="N338" i="14"/>
  <c r="O340" i="14"/>
  <c r="P340" i="14"/>
  <c r="L341" i="14"/>
  <c r="L339" i="14" s="1"/>
  <c r="O339" i="14" s="1"/>
  <c r="M341" i="14"/>
  <c r="P341" i="14" s="1"/>
  <c r="N341" i="14"/>
  <c r="N339" i="14" s="1"/>
  <c r="I344" i="14"/>
  <c r="I332" i="14" s="1"/>
  <c r="J344" i="14"/>
  <c r="I346" i="14"/>
  <c r="J346" i="14"/>
  <c r="J347" i="14"/>
  <c r="J348" i="14"/>
  <c r="J349" i="14"/>
  <c r="D350" i="14"/>
  <c r="J352" i="14"/>
  <c r="J353" i="14"/>
  <c r="D354" i="14"/>
  <c r="L357" i="14"/>
  <c r="M357" i="14"/>
  <c r="N357" i="14"/>
  <c r="O360" i="14"/>
  <c r="P360" i="14"/>
  <c r="L361" i="14"/>
  <c r="M361" i="14"/>
  <c r="N361" i="14"/>
  <c r="O363" i="14"/>
  <c r="P363" i="14"/>
  <c r="L364" i="14"/>
  <c r="L362" i="14" s="1"/>
  <c r="O362" i="14" s="1"/>
  <c r="M364" i="14"/>
  <c r="P364" i="14" s="1"/>
  <c r="N364" i="14"/>
  <c r="N362" i="14" s="1"/>
  <c r="J367" i="14"/>
  <c r="K367" i="14"/>
  <c r="I368" i="14"/>
  <c r="J368" i="14"/>
  <c r="I369" i="14"/>
  <c r="J369" i="14"/>
  <c r="J370" i="14"/>
  <c r="K370" i="14"/>
  <c r="I371" i="14"/>
  <c r="I365" i="14" s="1"/>
  <c r="J371" i="14"/>
  <c r="J372" i="14"/>
  <c r="K372" i="14"/>
  <c r="D373" i="14"/>
  <c r="I376" i="14"/>
  <c r="K376" i="14" s="1"/>
  <c r="J376" i="14"/>
  <c r="L378" i="14"/>
  <c r="M378" i="14"/>
  <c r="P378" i="14" s="1"/>
  <c r="N378" i="14"/>
  <c r="O381" i="14"/>
  <c r="P381" i="14"/>
  <c r="L382" i="14"/>
  <c r="O382" i="14" s="1"/>
  <c r="M382" i="14"/>
  <c r="M380" i="14" s="1"/>
  <c r="P380" i="14" s="1"/>
  <c r="N382" i="14"/>
  <c r="O384" i="14"/>
  <c r="P384" i="14"/>
  <c r="L385" i="14"/>
  <c r="O385" i="14" s="1"/>
  <c r="M385" i="14"/>
  <c r="P385" i="14" s="1"/>
  <c r="N385" i="14"/>
  <c r="N383" i="14" s="1"/>
  <c r="K387" i="14"/>
  <c r="K388" i="14"/>
  <c r="A391" i="14"/>
  <c r="L22" i="13"/>
  <c r="M22" i="13"/>
  <c r="N22" i="13"/>
  <c r="P22" i="13"/>
  <c r="L25" i="13"/>
  <c r="O25" i="13" s="1"/>
  <c r="M25" i="13"/>
  <c r="N25" i="13"/>
  <c r="L45" i="13"/>
  <c r="M45" i="13"/>
  <c r="P45" i="13" s="1"/>
  <c r="N45" i="13"/>
  <c r="O45" i="13"/>
  <c r="O48" i="13"/>
  <c r="P48" i="13"/>
  <c r="L49" i="13"/>
  <c r="L47" i="13" s="1"/>
  <c r="M49" i="13"/>
  <c r="M47" i="13" s="1"/>
  <c r="N49" i="13"/>
  <c r="N47" i="13" s="1"/>
  <c r="O51" i="13"/>
  <c r="P51" i="13"/>
  <c r="L52" i="13"/>
  <c r="L50" i="13" s="1"/>
  <c r="O50" i="13" s="1"/>
  <c r="M52" i="13"/>
  <c r="P52" i="13" s="1"/>
  <c r="N52" i="13"/>
  <c r="L60" i="13"/>
  <c r="M60" i="13"/>
  <c r="N60" i="13"/>
  <c r="P60" i="13"/>
  <c r="O63" i="13"/>
  <c r="P63" i="13"/>
  <c r="L64" i="13"/>
  <c r="L62" i="13" s="1"/>
  <c r="M64" i="13"/>
  <c r="M62" i="13" s="1"/>
  <c r="N64" i="13"/>
  <c r="O66" i="13"/>
  <c r="P66" i="13"/>
  <c r="L67" i="13"/>
  <c r="L65" i="13" s="1"/>
  <c r="O65" i="13" s="1"/>
  <c r="M67" i="13"/>
  <c r="M65" i="13" s="1"/>
  <c r="P65" i="13" s="1"/>
  <c r="N67" i="13"/>
  <c r="N65" i="13" s="1"/>
  <c r="L73" i="13"/>
  <c r="M73" i="13"/>
  <c r="N73" i="13"/>
  <c r="O76" i="13"/>
  <c r="P76" i="13"/>
  <c r="L77" i="13"/>
  <c r="M77" i="13"/>
  <c r="M75" i="13" s="1"/>
  <c r="P75" i="13" s="1"/>
  <c r="N77" i="13"/>
  <c r="N75" i="13" s="1"/>
  <c r="O79" i="13"/>
  <c r="P79" i="13"/>
  <c r="L80" i="13"/>
  <c r="M80" i="13"/>
  <c r="P80" i="13" s="1"/>
  <c r="N80" i="13"/>
  <c r="J82" i="13"/>
  <c r="J70" i="13" s="1"/>
  <c r="J83" i="13"/>
  <c r="J71" i="13" s="1"/>
  <c r="I84" i="13"/>
  <c r="K84" i="13" s="1"/>
  <c r="I85" i="13"/>
  <c r="I86" i="13"/>
  <c r="K86" i="13" s="1"/>
  <c r="I87" i="13"/>
  <c r="K87" i="13" s="1"/>
  <c r="I88" i="13"/>
  <c r="K88" i="13" s="1"/>
  <c r="I89" i="13"/>
  <c r="K89" i="13" s="1"/>
  <c r="I90" i="13"/>
  <c r="K90" i="13" s="1"/>
  <c r="J92" i="13"/>
  <c r="J93" i="13"/>
  <c r="L95" i="13"/>
  <c r="O95" i="13" s="1"/>
  <c r="M95" i="13"/>
  <c r="P95" i="13" s="1"/>
  <c r="N95" i="13"/>
  <c r="O98" i="13"/>
  <c r="P98" i="13"/>
  <c r="L99" i="13"/>
  <c r="M99" i="13"/>
  <c r="N99" i="13"/>
  <c r="N97" i="13" s="1"/>
  <c r="O101" i="13"/>
  <c r="P101" i="13"/>
  <c r="L102" i="13"/>
  <c r="L100" i="13" s="1"/>
  <c r="O100" i="13" s="1"/>
  <c r="M102" i="13"/>
  <c r="N102" i="13"/>
  <c r="N100" i="13" s="1"/>
  <c r="I108" i="13"/>
  <c r="I92" i="13" s="1"/>
  <c r="K92" i="13" s="1"/>
  <c r="I109" i="13"/>
  <c r="I93" i="13" s="1"/>
  <c r="K93" i="13" s="1"/>
  <c r="I117" i="13"/>
  <c r="K117" i="13" s="1"/>
  <c r="L126" i="13"/>
  <c r="O126" i="13" s="1"/>
  <c r="M126" i="13"/>
  <c r="N126" i="13"/>
  <c r="P126" i="13"/>
  <c r="O129" i="13"/>
  <c r="P129" i="13"/>
  <c r="L130" i="13"/>
  <c r="L128" i="13" s="1"/>
  <c r="O128" i="13" s="1"/>
  <c r="M130" i="13"/>
  <c r="P130" i="13" s="1"/>
  <c r="N130" i="13"/>
  <c r="N128" i="13" s="1"/>
  <c r="O132" i="13"/>
  <c r="P132" i="13"/>
  <c r="L133" i="13"/>
  <c r="L131" i="13" s="1"/>
  <c r="O131" i="13" s="1"/>
  <c r="M133" i="13"/>
  <c r="P133" i="13" s="1"/>
  <c r="N133" i="13"/>
  <c r="N131" i="13" s="1"/>
  <c r="J136" i="13"/>
  <c r="J137" i="13"/>
  <c r="J138" i="13"/>
  <c r="L140" i="13"/>
  <c r="M140" i="13"/>
  <c r="N140" i="13"/>
  <c r="O140" i="13"/>
  <c r="P140" i="13"/>
  <c r="O143" i="13"/>
  <c r="P143" i="13"/>
  <c r="L144" i="13"/>
  <c r="O144" i="13" s="1"/>
  <c r="M144" i="13"/>
  <c r="M142" i="13" s="1"/>
  <c r="P142" i="13" s="1"/>
  <c r="N144" i="13"/>
  <c r="N142" i="13" s="1"/>
  <c r="O146" i="13"/>
  <c r="P146" i="13"/>
  <c r="L147" i="13"/>
  <c r="O147" i="13" s="1"/>
  <c r="M147" i="13"/>
  <c r="M145" i="13" s="1"/>
  <c r="P145" i="13" s="1"/>
  <c r="N147" i="13"/>
  <c r="N145" i="13" s="1"/>
  <c r="I150" i="13"/>
  <c r="K150" i="13" s="1"/>
  <c r="I151" i="13"/>
  <c r="K151" i="13" s="1"/>
  <c r="I152" i="13"/>
  <c r="K152" i="13" s="1"/>
  <c r="I153" i="13"/>
  <c r="K153" i="13" s="1"/>
  <c r="I154" i="13"/>
  <c r="I136" i="13" s="1"/>
  <c r="K136" i="13" s="1"/>
  <c r="J156" i="13"/>
  <c r="L158" i="13"/>
  <c r="O158" i="13" s="1"/>
  <c r="M158" i="13"/>
  <c r="P158" i="13" s="1"/>
  <c r="N158" i="13"/>
  <c r="O161" i="13"/>
  <c r="P161" i="13"/>
  <c r="L162" i="13"/>
  <c r="O162" i="13" s="1"/>
  <c r="M162" i="13"/>
  <c r="N162" i="13"/>
  <c r="O164" i="13"/>
  <c r="P164" i="13"/>
  <c r="L165" i="13"/>
  <c r="O165" i="13" s="1"/>
  <c r="M165" i="13"/>
  <c r="M163" i="13" s="1"/>
  <c r="P163" i="13" s="1"/>
  <c r="N165" i="13"/>
  <c r="N163" i="13" s="1"/>
  <c r="I167" i="13"/>
  <c r="K167" i="13" s="1"/>
  <c r="I168" i="13"/>
  <c r="K168" i="13" s="1"/>
  <c r="I169" i="13"/>
  <c r="I156" i="13" s="1"/>
  <c r="K156" i="13" s="1"/>
  <c r="J172" i="13"/>
  <c r="L174" i="13"/>
  <c r="M174" i="13"/>
  <c r="P174" i="13" s="1"/>
  <c r="N174" i="13"/>
  <c r="O174" i="13"/>
  <c r="O177" i="13"/>
  <c r="P177" i="13"/>
  <c r="L178" i="13"/>
  <c r="M178" i="13"/>
  <c r="N178" i="13"/>
  <c r="O180" i="13"/>
  <c r="P180" i="13"/>
  <c r="L181" i="13"/>
  <c r="O181" i="13" s="1"/>
  <c r="M181" i="13"/>
  <c r="M179" i="13" s="1"/>
  <c r="P179" i="13" s="1"/>
  <c r="N181" i="13"/>
  <c r="N179" i="13" s="1"/>
  <c r="I183" i="13"/>
  <c r="K183" i="13" s="1"/>
  <c r="K184" i="13"/>
  <c r="L187" i="13"/>
  <c r="M187" i="13"/>
  <c r="P187" i="13" s="1"/>
  <c r="N187" i="13"/>
  <c r="O187" i="13"/>
  <c r="O190" i="13"/>
  <c r="P190" i="13"/>
  <c r="L191" i="13"/>
  <c r="M191" i="13"/>
  <c r="M189" i="13" s="1"/>
  <c r="N191" i="13"/>
  <c r="N189" i="13" s="1"/>
  <c r="O193" i="13"/>
  <c r="P193" i="13"/>
  <c r="L194" i="13"/>
  <c r="L192" i="13" s="1"/>
  <c r="O192" i="13" s="1"/>
  <c r="M194" i="13"/>
  <c r="M192" i="13" s="1"/>
  <c r="P192" i="13" s="1"/>
  <c r="N194" i="13"/>
  <c r="N192" i="13" s="1"/>
  <c r="J195" i="13"/>
  <c r="L196" i="13"/>
  <c r="O196" i="13" s="1"/>
  <c r="P196" i="13"/>
  <c r="I198" i="13"/>
  <c r="K198" i="13" s="1"/>
  <c r="J199" i="13"/>
  <c r="J202" i="13"/>
  <c r="N203" i="13"/>
  <c r="P203" i="13"/>
  <c r="L204" i="13"/>
  <c r="L205" i="13"/>
  <c r="L206" i="13"/>
  <c r="L207" i="13"/>
  <c r="I209" i="13"/>
  <c r="K209" i="13" s="1"/>
  <c r="I211" i="13"/>
  <c r="K211" i="13" s="1"/>
  <c r="I212" i="13"/>
  <c r="K212" i="13" s="1"/>
  <c r="J213" i="13"/>
  <c r="N214" i="13"/>
  <c r="P214" i="13"/>
  <c r="L215" i="13"/>
  <c r="L216" i="13"/>
  <c r="L217" i="13"/>
  <c r="I219" i="13"/>
  <c r="K219" i="13" s="1"/>
  <c r="I220" i="13"/>
  <c r="I213" i="13" s="1"/>
  <c r="K213" i="13" s="1"/>
  <c r="J221" i="13"/>
  <c r="N222" i="13"/>
  <c r="P222" i="13"/>
  <c r="L223" i="13"/>
  <c r="L224" i="13"/>
  <c r="L225" i="13"/>
  <c r="I228" i="13"/>
  <c r="K228" i="13" s="1"/>
  <c r="I229" i="13"/>
  <c r="I221" i="13" s="1"/>
  <c r="K221" i="13" s="1"/>
  <c r="I230" i="13"/>
  <c r="K230" i="13" s="1"/>
  <c r="N233" i="13"/>
  <c r="N234" i="13"/>
  <c r="N235" i="13"/>
  <c r="N236" i="13"/>
  <c r="J238" i="13"/>
  <c r="I240" i="13"/>
  <c r="K240" i="13" s="1"/>
  <c r="J240" i="13"/>
  <c r="I241" i="13"/>
  <c r="K241" i="13" s="1"/>
  <c r="J241" i="13"/>
  <c r="J242" i="13"/>
  <c r="N243" i="13"/>
  <c r="P243" i="13"/>
  <c r="L244" i="13"/>
  <c r="L245" i="13"/>
  <c r="L246" i="13"/>
  <c r="L247" i="13"/>
  <c r="I249" i="13"/>
  <c r="I242" i="13" s="1"/>
  <c r="K242" i="13" s="1"/>
  <c r="K251" i="13"/>
  <c r="K252" i="13"/>
  <c r="J253" i="13"/>
  <c r="J231" i="13" s="1"/>
  <c r="J185" i="13" s="1"/>
  <c r="N254" i="13"/>
  <c r="P254" i="13"/>
  <c r="L255" i="13"/>
  <c r="L256" i="13"/>
  <c r="L257" i="13"/>
  <c r="L258" i="13"/>
  <c r="I260" i="13"/>
  <c r="I238" i="13" s="1"/>
  <c r="K238" i="13" s="1"/>
  <c r="K262" i="13"/>
  <c r="K263" i="13"/>
  <c r="I265" i="13"/>
  <c r="K265" i="13" s="1"/>
  <c r="J265" i="13"/>
  <c r="L267" i="13"/>
  <c r="M267" i="13"/>
  <c r="P267" i="13" s="1"/>
  <c r="N267" i="13"/>
  <c r="O267" i="13"/>
  <c r="O270" i="13"/>
  <c r="P270" i="13"/>
  <c r="L271" i="13"/>
  <c r="L269" i="13" s="1"/>
  <c r="O269" i="13" s="1"/>
  <c r="M271" i="13"/>
  <c r="M269" i="13" s="1"/>
  <c r="P269" i="13" s="1"/>
  <c r="N271" i="13"/>
  <c r="N269" i="13" s="1"/>
  <c r="O273" i="13"/>
  <c r="P273" i="13"/>
  <c r="L274" i="13"/>
  <c r="L272" i="13" s="1"/>
  <c r="O272" i="13" s="1"/>
  <c r="M274" i="13"/>
  <c r="M272" i="13" s="1"/>
  <c r="P272" i="13" s="1"/>
  <c r="N274" i="13"/>
  <c r="N272" i="13" s="1"/>
  <c r="J281" i="13"/>
  <c r="L283" i="13"/>
  <c r="M283" i="13"/>
  <c r="N283" i="13"/>
  <c r="O283" i="13"/>
  <c r="P283" i="13"/>
  <c r="O286" i="13"/>
  <c r="P286" i="13"/>
  <c r="L287" i="13"/>
  <c r="O287" i="13" s="1"/>
  <c r="M287" i="13"/>
  <c r="N287" i="13"/>
  <c r="O289" i="13"/>
  <c r="P289" i="13"/>
  <c r="L290" i="13"/>
  <c r="O290" i="13" s="1"/>
  <c r="M290" i="13"/>
  <c r="M288" i="13" s="1"/>
  <c r="P288" i="13" s="1"/>
  <c r="N290" i="13"/>
  <c r="N288" i="13" s="1"/>
  <c r="I292" i="13"/>
  <c r="K292" i="13" s="1"/>
  <c r="I293" i="13"/>
  <c r="K293" i="13" s="1"/>
  <c r="J293" i="13"/>
  <c r="J280" i="13" s="1"/>
  <c r="I295" i="13"/>
  <c r="K295" i="13" s="1"/>
  <c r="I296" i="13"/>
  <c r="K296" i="13" s="1"/>
  <c r="J302" i="13"/>
  <c r="L304" i="13"/>
  <c r="M304" i="13"/>
  <c r="P304" i="13" s="1"/>
  <c r="N304" i="13"/>
  <c r="O304" i="13"/>
  <c r="O307" i="13"/>
  <c r="P307" i="13"/>
  <c r="L308" i="13"/>
  <c r="M308" i="13"/>
  <c r="M306" i="13" s="1"/>
  <c r="P306" i="13" s="1"/>
  <c r="N308" i="13"/>
  <c r="N306" i="13" s="1"/>
  <c r="O310" i="13"/>
  <c r="P310" i="13"/>
  <c r="L311" i="13"/>
  <c r="L309" i="13" s="1"/>
  <c r="O309" i="13" s="1"/>
  <c r="M311" i="13"/>
  <c r="M309" i="13" s="1"/>
  <c r="P309" i="13" s="1"/>
  <c r="N311" i="13"/>
  <c r="N309" i="13" s="1"/>
  <c r="I314" i="13"/>
  <c r="K314" i="13" s="1"/>
  <c r="I315" i="13"/>
  <c r="K315" i="13" s="1"/>
  <c r="I316" i="13"/>
  <c r="K316" i="13" s="1"/>
  <c r="I317" i="13"/>
  <c r="K317" i="13" s="1"/>
  <c r="J319" i="13"/>
  <c r="L321" i="13"/>
  <c r="O321" i="13" s="1"/>
  <c r="M321" i="13"/>
  <c r="N321" i="13"/>
  <c r="O324" i="13"/>
  <c r="P324" i="13"/>
  <c r="L325" i="13"/>
  <c r="L323" i="13" s="1"/>
  <c r="O323" i="13" s="1"/>
  <c r="M325" i="13"/>
  <c r="M323" i="13" s="1"/>
  <c r="P323" i="13" s="1"/>
  <c r="N325" i="13"/>
  <c r="O327" i="13"/>
  <c r="P327" i="13"/>
  <c r="L328" i="13"/>
  <c r="L326" i="13" s="1"/>
  <c r="O326" i="13" s="1"/>
  <c r="M328" i="13"/>
  <c r="M326" i="13" s="1"/>
  <c r="P326" i="13" s="1"/>
  <c r="N328" i="13"/>
  <c r="N326" i="13" s="1"/>
  <c r="I330" i="13"/>
  <c r="I319" i="13" s="1"/>
  <c r="K319" i="13" s="1"/>
  <c r="L334" i="13"/>
  <c r="O334" i="13" s="1"/>
  <c r="M334" i="13"/>
  <c r="N334" i="13"/>
  <c r="O337" i="13"/>
  <c r="P337" i="13"/>
  <c r="L338" i="13"/>
  <c r="L336" i="13" s="1"/>
  <c r="M338" i="13"/>
  <c r="N338" i="13"/>
  <c r="O340" i="13"/>
  <c r="P340" i="13"/>
  <c r="L341" i="13"/>
  <c r="O341" i="13" s="1"/>
  <c r="M341" i="13"/>
  <c r="P341" i="13" s="1"/>
  <c r="N341" i="13"/>
  <c r="N339" i="13" s="1"/>
  <c r="I344" i="13"/>
  <c r="I332" i="13" s="1"/>
  <c r="J344" i="13"/>
  <c r="I346" i="13"/>
  <c r="J346" i="13"/>
  <c r="J347" i="13"/>
  <c r="J348" i="13"/>
  <c r="J349" i="13"/>
  <c r="D350" i="13"/>
  <c r="J352" i="13"/>
  <c r="J353" i="13"/>
  <c r="D354" i="13"/>
  <c r="L357" i="13"/>
  <c r="O357" i="13" s="1"/>
  <c r="M357" i="13"/>
  <c r="N357" i="13"/>
  <c r="O360" i="13"/>
  <c r="P360" i="13"/>
  <c r="L361" i="13"/>
  <c r="L359" i="13" s="1"/>
  <c r="M361" i="13"/>
  <c r="N361" i="13"/>
  <c r="O363" i="13"/>
  <c r="P363" i="13"/>
  <c r="L364" i="13"/>
  <c r="O364" i="13" s="1"/>
  <c r="M364" i="13"/>
  <c r="P364" i="13" s="1"/>
  <c r="N364" i="13"/>
  <c r="N362" i="13" s="1"/>
  <c r="J367" i="13"/>
  <c r="K367" i="13"/>
  <c r="I368" i="13"/>
  <c r="J368" i="13"/>
  <c r="I369" i="13"/>
  <c r="J369" i="13"/>
  <c r="J370" i="13"/>
  <c r="K370" i="13"/>
  <c r="I371" i="13"/>
  <c r="I365" i="13" s="1"/>
  <c r="J371" i="13"/>
  <c r="J365" i="13" s="1"/>
  <c r="J372" i="13"/>
  <c r="K372" i="13"/>
  <c r="D373" i="13"/>
  <c r="I376" i="13"/>
  <c r="J376" i="13"/>
  <c r="K376" i="13"/>
  <c r="L378" i="13"/>
  <c r="M378" i="13"/>
  <c r="N378" i="13"/>
  <c r="P378" i="13"/>
  <c r="O381" i="13"/>
  <c r="P381" i="13"/>
  <c r="L382" i="13"/>
  <c r="O382" i="13" s="1"/>
  <c r="M382" i="13"/>
  <c r="N382" i="13"/>
  <c r="N380" i="13" s="1"/>
  <c r="O384" i="13"/>
  <c r="P384" i="13"/>
  <c r="L385" i="13"/>
  <c r="O385" i="13" s="1"/>
  <c r="M385" i="13"/>
  <c r="P385" i="13" s="1"/>
  <c r="N385" i="13"/>
  <c r="N383" i="13" s="1"/>
  <c r="K387" i="13"/>
  <c r="K388" i="13"/>
  <c r="A391" i="13"/>
  <c r="L22" i="12"/>
  <c r="M22" i="12"/>
  <c r="N22" i="12"/>
  <c r="P22" i="12"/>
  <c r="L25" i="12"/>
  <c r="O25" i="12" s="1"/>
  <c r="M25" i="12"/>
  <c r="M19" i="12" s="1"/>
  <c r="N25" i="12"/>
  <c r="L45" i="12"/>
  <c r="M45" i="12"/>
  <c r="P45" i="12" s="1"/>
  <c r="N45" i="12"/>
  <c r="O45" i="12"/>
  <c r="O48" i="12"/>
  <c r="P48" i="12"/>
  <c r="L49" i="12"/>
  <c r="L47" i="12" s="1"/>
  <c r="M49" i="12"/>
  <c r="M47" i="12" s="1"/>
  <c r="N49" i="12"/>
  <c r="N47" i="12" s="1"/>
  <c r="O51" i="12"/>
  <c r="P51" i="12"/>
  <c r="L52" i="12"/>
  <c r="L50" i="12" s="1"/>
  <c r="O50" i="12" s="1"/>
  <c r="M52" i="12"/>
  <c r="P52" i="12" s="1"/>
  <c r="N52" i="12"/>
  <c r="L60" i="12"/>
  <c r="M60" i="12"/>
  <c r="N60" i="12"/>
  <c r="P60" i="12"/>
  <c r="O63" i="12"/>
  <c r="P63" i="12"/>
  <c r="L64" i="12"/>
  <c r="L62" i="12" s="1"/>
  <c r="M64" i="12"/>
  <c r="N64" i="12"/>
  <c r="O66" i="12"/>
  <c r="P66" i="12"/>
  <c r="L67" i="12"/>
  <c r="L65" i="12" s="1"/>
  <c r="O65" i="12" s="1"/>
  <c r="M67" i="12"/>
  <c r="M65" i="12" s="1"/>
  <c r="P65" i="12" s="1"/>
  <c r="N67" i="12"/>
  <c r="N65" i="12" s="1"/>
  <c r="L73" i="12"/>
  <c r="M73" i="12"/>
  <c r="N73" i="12"/>
  <c r="O76" i="12"/>
  <c r="P76" i="12"/>
  <c r="L77" i="12"/>
  <c r="M77" i="12"/>
  <c r="M75" i="12" s="1"/>
  <c r="P75" i="12" s="1"/>
  <c r="N77" i="12"/>
  <c r="N75" i="12" s="1"/>
  <c r="O79" i="12"/>
  <c r="P79" i="12"/>
  <c r="L80" i="12"/>
  <c r="M80" i="12"/>
  <c r="M78" i="12" s="1"/>
  <c r="P78" i="12" s="1"/>
  <c r="N80" i="12"/>
  <c r="J82" i="12"/>
  <c r="J70" i="12" s="1"/>
  <c r="J83" i="12"/>
  <c r="J71" i="12" s="1"/>
  <c r="I84" i="12"/>
  <c r="I85" i="12"/>
  <c r="I86" i="12"/>
  <c r="K86" i="12" s="1"/>
  <c r="I87" i="12"/>
  <c r="K87" i="12" s="1"/>
  <c r="I88" i="12"/>
  <c r="K88" i="12" s="1"/>
  <c r="I89" i="12"/>
  <c r="K89" i="12" s="1"/>
  <c r="I90" i="12"/>
  <c r="K90" i="12" s="1"/>
  <c r="J92" i="12"/>
  <c r="J93" i="12"/>
  <c r="L95" i="12"/>
  <c r="O95" i="12" s="1"/>
  <c r="M95" i="12"/>
  <c r="P95" i="12" s="1"/>
  <c r="N95" i="12"/>
  <c r="O98" i="12"/>
  <c r="P98" i="12"/>
  <c r="L99" i="12"/>
  <c r="M99" i="12"/>
  <c r="N99" i="12"/>
  <c r="N97" i="12" s="1"/>
  <c r="O101" i="12"/>
  <c r="P101" i="12"/>
  <c r="L102" i="12"/>
  <c r="L100" i="12" s="1"/>
  <c r="O100" i="12" s="1"/>
  <c r="M102" i="12"/>
  <c r="N102" i="12"/>
  <c r="I108" i="12"/>
  <c r="K108" i="12" s="1"/>
  <c r="I109" i="12"/>
  <c r="I93" i="12" s="1"/>
  <c r="K93" i="12" s="1"/>
  <c r="I117" i="12"/>
  <c r="K117" i="12" s="1"/>
  <c r="L126" i="12"/>
  <c r="O126" i="12" s="1"/>
  <c r="M126" i="12"/>
  <c r="P126" i="12" s="1"/>
  <c r="N126" i="12"/>
  <c r="O129" i="12"/>
  <c r="P129" i="12"/>
  <c r="L130" i="12"/>
  <c r="O130" i="12" s="1"/>
  <c r="M130" i="12"/>
  <c r="M128" i="12" s="1"/>
  <c r="P128" i="12" s="1"/>
  <c r="N130" i="12"/>
  <c r="N128" i="12" s="1"/>
  <c r="O132" i="12"/>
  <c r="P132" i="12"/>
  <c r="L133" i="12"/>
  <c r="O133" i="12" s="1"/>
  <c r="M133" i="12"/>
  <c r="M131" i="12" s="1"/>
  <c r="P131" i="12" s="1"/>
  <c r="N133" i="12"/>
  <c r="N131" i="12" s="1"/>
  <c r="J136" i="12"/>
  <c r="J137" i="12"/>
  <c r="J138" i="12"/>
  <c r="L140" i="12"/>
  <c r="O140" i="12" s="1"/>
  <c r="M140" i="12"/>
  <c r="N140" i="12"/>
  <c r="O143" i="12"/>
  <c r="P143" i="12"/>
  <c r="L144" i="12"/>
  <c r="L142" i="12" s="1"/>
  <c r="M144" i="12"/>
  <c r="M142" i="12" s="1"/>
  <c r="N144" i="12"/>
  <c r="N142" i="12" s="1"/>
  <c r="O146" i="12"/>
  <c r="P146" i="12"/>
  <c r="L147" i="12"/>
  <c r="L145" i="12" s="1"/>
  <c r="O145" i="12" s="1"/>
  <c r="M147" i="12"/>
  <c r="M145" i="12" s="1"/>
  <c r="P145" i="12" s="1"/>
  <c r="N147" i="12"/>
  <c r="N145" i="12" s="1"/>
  <c r="I150" i="12"/>
  <c r="K150" i="12" s="1"/>
  <c r="I151" i="12"/>
  <c r="K151" i="12" s="1"/>
  <c r="I152" i="12"/>
  <c r="I137" i="12" s="1"/>
  <c r="I153" i="12"/>
  <c r="I138" i="12" s="1"/>
  <c r="I154" i="12"/>
  <c r="K154" i="12" s="1"/>
  <c r="J156" i="12"/>
  <c r="L158" i="12"/>
  <c r="M158" i="12"/>
  <c r="P158" i="12" s="1"/>
  <c r="N158" i="12"/>
  <c r="O161" i="12"/>
  <c r="P161" i="12"/>
  <c r="L162" i="12"/>
  <c r="O162" i="12" s="1"/>
  <c r="M162" i="12"/>
  <c r="M160" i="12" s="1"/>
  <c r="P160" i="12" s="1"/>
  <c r="N162" i="12"/>
  <c r="O164" i="12"/>
  <c r="P164" i="12"/>
  <c r="L165" i="12"/>
  <c r="O165" i="12" s="1"/>
  <c r="M165" i="12"/>
  <c r="M163" i="12" s="1"/>
  <c r="P163" i="12" s="1"/>
  <c r="N165" i="12"/>
  <c r="N163" i="12" s="1"/>
  <c r="I167" i="12"/>
  <c r="K167" i="12" s="1"/>
  <c r="I168" i="12"/>
  <c r="K168" i="12" s="1"/>
  <c r="I169" i="12"/>
  <c r="K169" i="12" s="1"/>
  <c r="J172" i="12"/>
  <c r="L174" i="12"/>
  <c r="M174" i="12"/>
  <c r="P174" i="12" s="1"/>
  <c r="N174" i="12"/>
  <c r="O177" i="12"/>
  <c r="P177" i="12"/>
  <c r="L178" i="12"/>
  <c r="M178" i="12"/>
  <c r="M176" i="12" s="1"/>
  <c r="N178" i="12"/>
  <c r="O180" i="12"/>
  <c r="P180" i="12"/>
  <c r="L181" i="12"/>
  <c r="O181" i="12" s="1"/>
  <c r="M181" i="12"/>
  <c r="M179" i="12" s="1"/>
  <c r="P179" i="12" s="1"/>
  <c r="N181" i="12"/>
  <c r="N179" i="12" s="1"/>
  <c r="I183" i="12"/>
  <c r="I172" i="12" s="1"/>
  <c r="K172" i="12" s="1"/>
  <c r="K184" i="12"/>
  <c r="L187" i="12"/>
  <c r="M187" i="12"/>
  <c r="P187" i="12" s="1"/>
  <c r="N187" i="12"/>
  <c r="O190" i="12"/>
  <c r="P190" i="12"/>
  <c r="L191" i="12"/>
  <c r="M191" i="12"/>
  <c r="M189" i="12" s="1"/>
  <c r="N191" i="12"/>
  <c r="N189" i="12" s="1"/>
  <c r="O193" i="12"/>
  <c r="P193" i="12"/>
  <c r="L194" i="12"/>
  <c r="L192" i="12" s="1"/>
  <c r="O192" i="12" s="1"/>
  <c r="M194" i="12"/>
  <c r="M192" i="12" s="1"/>
  <c r="P192" i="12" s="1"/>
  <c r="N194" i="12"/>
  <c r="J195" i="12"/>
  <c r="L196" i="12"/>
  <c r="O196" i="12" s="1"/>
  <c r="P196" i="12"/>
  <c r="I198" i="12"/>
  <c r="K198" i="12" s="1"/>
  <c r="J199" i="12"/>
  <c r="J202" i="12"/>
  <c r="N203" i="12"/>
  <c r="P203" i="12"/>
  <c r="L204" i="12"/>
  <c r="L205" i="12"/>
  <c r="L206" i="12"/>
  <c r="L207" i="12"/>
  <c r="I209" i="12"/>
  <c r="I211" i="12"/>
  <c r="K211" i="12" s="1"/>
  <c r="I212" i="12"/>
  <c r="K212" i="12" s="1"/>
  <c r="J213" i="12"/>
  <c r="N214" i="12"/>
  <c r="P214" i="12"/>
  <c r="L215" i="12"/>
  <c r="L216" i="12"/>
  <c r="L217" i="12"/>
  <c r="I219" i="12"/>
  <c r="K219" i="12" s="1"/>
  <c r="I220" i="12"/>
  <c r="I213" i="12" s="1"/>
  <c r="K213" i="12" s="1"/>
  <c r="J221" i="12"/>
  <c r="N222" i="12"/>
  <c r="P222" i="12"/>
  <c r="L223" i="12"/>
  <c r="L224" i="12"/>
  <c r="L225" i="12"/>
  <c r="I228" i="12"/>
  <c r="K228" i="12" s="1"/>
  <c r="I229" i="12"/>
  <c r="I221" i="12" s="1"/>
  <c r="I230" i="12"/>
  <c r="K230" i="12" s="1"/>
  <c r="N233" i="12"/>
  <c r="N234" i="12"/>
  <c r="N235" i="12"/>
  <c r="N236" i="12"/>
  <c r="J238" i="12"/>
  <c r="I240" i="12"/>
  <c r="K240" i="12" s="1"/>
  <c r="J240" i="12"/>
  <c r="I241" i="12"/>
  <c r="K241" i="12" s="1"/>
  <c r="J241" i="12"/>
  <c r="J242" i="12"/>
  <c r="J231" i="12" s="1"/>
  <c r="J185" i="12" s="1"/>
  <c r="N243" i="12"/>
  <c r="N232" i="12" s="1"/>
  <c r="P243" i="12"/>
  <c r="L244" i="12"/>
  <c r="L245" i="12"/>
  <c r="L246" i="12"/>
  <c r="L247" i="12"/>
  <c r="I249" i="12"/>
  <c r="I242" i="12" s="1"/>
  <c r="K251" i="12"/>
  <c r="K252" i="12"/>
  <c r="J253" i="12"/>
  <c r="N254" i="12"/>
  <c r="P254" i="12"/>
  <c r="L255" i="12"/>
  <c r="L256" i="12"/>
  <c r="L257" i="12"/>
  <c r="L258" i="12"/>
  <c r="I260" i="12"/>
  <c r="I253" i="12" s="1"/>
  <c r="K253" i="12" s="1"/>
  <c r="K262" i="12"/>
  <c r="K263" i="12"/>
  <c r="I265" i="12"/>
  <c r="K265" i="12" s="1"/>
  <c r="J265" i="12"/>
  <c r="L267" i="12"/>
  <c r="M267" i="12"/>
  <c r="P267" i="12" s="1"/>
  <c r="N267" i="12"/>
  <c r="O267" i="12"/>
  <c r="O270" i="12"/>
  <c r="P270" i="12"/>
  <c r="L271" i="12"/>
  <c r="M271" i="12"/>
  <c r="M269" i="12" s="1"/>
  <c r="P269" i="12" s="1"/>
  <c r="N271" i="12"/>
  <c r="N269" i="12" s="1"/>
  <c r="O273" i="12"/>
  <c r="P273" i="12"/>
  <c r="L274" i="12"/>
  <c r="M274" i="12"/>
  <c r="M272" i="12" s="1"/>
  <c r="P272" i="12" s="1"/>
  <c r="N274" i="12"/>
  <c r="N272" i="12" s="1"/>
  <c r="J281" i="12"/>
  <c r="L283" i="12"/>
  <c r="M283" i="12"/>
  <c r="P283" i="12" s="1"/>
  <c r="N283" i="12"/>
  <c r="O286" i="12"/>
  <c r="P286" i="12"/>
  <c r="L287" i="12"/>
  <c r="M287" i="12"/>
  <c r="M285" i="12" s="1"/>
  <c r="P285" i="12" s="1"/>
  <c r="N287" i="12"/>
  <c r="O289" i="12"/>
  <c r="P289" i="12"/>
  <c r="L290" i="12"/>
  <c r="O290" i="12" s="1"/>
  <c r="M290" i="12"/>
  <c r="M288" i="12" s="1"/>
  <c r="P288" i="12" s="1"/>
  <c r="N290" i="12"/>
  <c r="N288" i="12" s="1"/>
  <c r="I292" i="12"/>
  <c r="I281" i="12" s="1"/>
  <c r="K281" i="12" s="1"/>
  <c r="I293" i="12"/>
  <c r="K293" i="12" s="1"/>
  <c r="J293" i="12"/>
  <c r="J280" i="12" s="1"/>
  <c r="I295" i="12"/>
  <c r="K295" i="12" s="1"/>
  <c r="I296" i="12"/>
  <c r="K296" i="12" s="1"/>
  <c r="J302" i="12"/>
  <c r="L304" i="12"/>
  <c r="M304" i="12"/>
  <c r="N304" i="12"/>
  <c r="O304" i="12"/>
  <c r="P304" i="12"/>
  <c r="O307" i="12"/>
  <c r="P307" i="12"/>
  <c r="L308" i="12"/>
  <c r="M308" i="12"/>
  <c r="M306" i="12" s="1"/>
  <c r="P306" i="12" s="1"/>
  <c r="N308" i="12"/>
  <c r="O310" i="12"/>
  <c r="P310" i="12"/>
  <c r="L311" i="12"/>
  <c r="L309" i="12" s="1"/>
  <c r="O309" i="12" s="1"/>
  <c r="M311" i="12"/>
  <c r="M309" i="12" s="1"/>
  <c r="P309" i="12" s="1"/>
  <c r="N311" i="12"/>
  <c r="N309" i="12" s="1"/>
  <c r="I314" i="12"/>
  <c r="K314" i="12" s="1"/>
  <c r="I315" i="12"/>
  <c r="K315" i="12" s="1"/>
  <c r="I316" i="12"/>
  <c r="K316" i="12" s="1"/>
  <c r="I317" i="12"/>
  <c r="K317" i="12" s="1"/>
  <c r="J319" i="12"/>
  <c r="L321" i="12"/>
  <c r="O321" i="12" s="1"/>
  <c r="M321" i="12"/>
  <c r="N321" i="12"/>
  <c r="O324" i="12"/>
  <c r="P324" i="12"/>
  <c r="L325" i="12"/>
  <c r="M325" i="12"/>
  <c r="M323" i="12" s="1"/>
  <c r="N325" i="12"/>
  <c r="N323" i="12" s="1"/>
  <c r="O327" i="12"/>
  <c r="P327" i="12"/>
  <c r="L328" i="12"/>
  <c r="O328" i="12" s="1"/>
  <c r="M328" i="12"/>
  <c r="M326" i="12" s="1"/>
  <c r="P326" i="12" s="1"/>
  <c r="N328" i="12"/>
  <c r="N326" i="12" s="1"/>
  <c r="I330" i="12"/>
  <c r="K330" i="12" s="1"/>
  <c r="L334" i="12"/>
  <c r="M334" i="12"/>
  <c r="P334" i="12" s="1"/>
  <c r="N334" i="12"/>
  <c r="O334" i="12"/>
  <c r="O337" i="12"/>
  <c r="P337" i="12"/>
  <c r="L338" i="12"/>
  <c r="M338" i="12"/>
  <c r="M336" i="12" s="1"/>
  <c r="N338" i="12"/>
  <c r="O340" i="12"/>
  <c r="P340" i="12"/>
  <c r="L341" i="12"/>
  <c r="L339" i="12" s="1"/>
  <c r="O339" i="12" s="1"/>
  <c r="M341" i="12"/>
  <c r="P341" i="12" s="1"/>
  <c r="N341" i="12"/>
  <c r="N339" i="12" s="1"/>
  <c r="I344" i="12"/>
  <c r="I332" i="12" s="1"/>
  <c r="J344" i="12"/>
  <c r="I346" i="12"/>
  <c r="J346" i="12"/>
  <c r="J347" i="12"/>
  <c r="J348" i="12"/>
  <c r="J349" i="12"/>
  <c r="D350" i="12"/>
  <c r="J352" i="12"/>
  <c r="J353" i="12"/>
  <c r="D354" i="12"/>
  <c r="L357" i="12"/>
  <c r="M357" i="12"/>
  <c r="P357" i="12" s="1"/>
  <c r="N357" i="12"/>
  <c r="O357" i="12"/>
  <c r="O360" i="12"/>
  <c r="P360" i="12"/>
  <c r="L361" i="12"/>
  <c r="M361" i="12"/>
  <c r="N361" i="12"/>
  <c r="O363" i="12"/>
  <c r="P363" i="12"/>
  <c r="L364" i="12"/>
  <c r="L362" i="12" s="1"/>
  <c r="O362" i="12" s="1"/>
  <c r="M364" i="12"/>
  <c r="M362" i="12" s="1"/>
  <c r="P362" i="12" s="1"/>
  <c r="N364" i="12"/>
  <c r="N362" i="12" s="1"/>
  <c r="J367" i="12"/>
  <c r="K367" i="12"/>
  <c r="I368" i="12"/>
  <c r="J368" i="12"/>
  <c r="I369" i="12"/>
  <c r="J369" i="12"/>
  <c r="J370" i="12"/>
  <c r="K370" i="12"/>
  <c r="I371" i="12"/>
  <c r="J371" i="12"/>
  <c r="J365" i="12" s="1"/>
  <c r="J372" i="12"/>
  <c r="K372" i="12"/>
  <c r="D373" i="12"/>
  <c r="I376" i="12"/>
  <c r="K376" i="12" s="1"/>
  <c r="J376" i="12"/>
  <c r="L378" i="12"/>
  <c r="O378" i="12" s="1"/>
  <c r="M378" i="12"/>
  <c r="N378" i="12"/>
  <c r="O381" i="12"/>
  <c r="P381" i="12"/>
  <c r="L382" i="12"/>
  <c r="M382" i="12"/>
  <c r="P382" i="12" s="1"/>
  <c r="N382" i="12"/>
  <c r="O384" i="12"/>
  <c r="P384" i="12"/>
  <c r="L385" i="12"/>
  <c r="L383" i="12" s="1"/>
  <c r="O383" i="12" s="1"/>
  <c r="M385" i="12"/>
  <c r="P385" i="12" s="1"/>
  <c r="N385" i="12"/>
  <c r="N383" i="12" s="1"/>
  <c r="K387" i="12"/>
  <c r="K388" i="12"/>
  <c r="A391" i="12"/>
  <c r="L22" i="11"/>
  <c r="M22" i="11"/>
  <c r="P22" i="11" s="1"/>
  <c r="N22" i="11"/>
  <c r="L25" i="11"/>
  <c r="O25" i="11" s="1"/>
  <c r="M25" i="11"/>
  <c r="N25" i="11"/>
  <c r="L45" i="11"/>
  <c r="M45" i="11"/>
  <c r="N45" i="11"/>
  <c r="O45" i="11"/>
  <c r="O48" i="11"/>
  <c r="P48" i="11"/>
  <c r="L49" i="11"/>
  <c r="M49" i="11"/>
  <c r="N49" i="11"/>
  <c r="O51" i="11"/>
  <c r="P51" i="11"/>
  <c r="L52" i="11"/>
  <c r="M52" i="11"/>
  <c r="P52" i="11" s="1"/>
  <c r="N52" i="11"/>
  <c r="N50" i="11" s="1"/>
  <c r="L60" i="11"/>
  <c r="O60" i="11" s="1"/>
  <c r="M60" i="11"/>
  <c r="P60" i="11" s="1"/>
  <c r="N60" i="11"/>
  <c r="O63" i="11"/>
  <c r="P63" i="11"/>
  <c r="L64" i="11"/>
  <c r="L62" i="11" s="1"/>
  <c r="M64" i="11"/>
  <c r="M62" i="11" s="1"/>
  <c r="N64" i="11"/>
  <c r="O66" i="11"/>
  <c r="P66" i="11"/>
  <c r="L67" i="11"/>
  <c r="L65" i="11" s="1"/>
  <c r="O65" i="11" s="1"/>
  <c r="M67" i="11"/>
  <c r="N67" i="11"/>
  <c r="N65" i="11" s="1"/>
  <c r="L73" i="11"/>
  <c r="M73" i="11"/>
  <c r="N73" i="11"/>
  <c r="O76" i="11"/>
  <c r="P76" i="11"/>
  <c r="L77" i="11"/>
  <c r="M77" i="11"/>
  <c r="M75" i="11" s="1"/>
  <c r="P75" i="11" s="1"/>
  <c r="N77" i="11"/>
  <c r="N75" i="11" s="1"/>
  <c r="O79" i="11"/>
  <c r="P79" i="11"/>
  <c r="L80" i="11"/>
  <c r="O80" i="11" s="1"/>
  <c r="M80" i="11"/>
  <c r="M78" i="11" s="1"/>
  <c r="P78" i="11" s="1"/>
  <c r="N80" i="11"/>
  <c r="J82" i="11"/>
  <c r="J70" i="11" s="1"/>
  <c r="J83" i="11"/>
  <c r="J71" i="11" s="1"/>
  <c r="I84" i="11"/>
  <c r="K84" i="11" s="1"/>
  <c r="I85" i="11"/>
  <c r="I86" i="11"/>
  <c r="K86" i="11" s="1"/>
  <c r="I87" i="11"/>
  <c r="K87" i="11" s="1"/>
  <c r="I88" i="11"/>
  <c r="K88" i="11" s="1"/>
  <c r="I89" i="11"/>
  <c r="K89" i="11" s="1"/>
  <c r="I90" i="11"/>
  <c r="K90" i="11" s="1"/>
  <c r="J92" i="11"/>
  <c r="J93" i="11"/>
  <c r="L95" i="11"/>
  <c r="O95" i="11" s="1"/>
  <c r="M95" i="11"/>
  <c r="P95" i="11" s="1"/>
  <c r="N95" i="11"/>
  <c r="O98" i="11"/>
  <c r="P98" i="11"/>
  <c r="L99" i="11"/>
  <c r="M99" i="11"/>
  <c r="N99" i="11"/>
  <c r="N97" i="11" s="1"/>
  <c r="O101" i="11"/>
  <c r="P101" i="11"/>
  <c r="L102" i="11"/>
  <c r="O102" i="11" s="1"/>
  <c r="M102" i="11"/>
  <c r="P102" i="11" s="1"/>
  <c r="N102" i="11"/>
  <c r="N100" i="11" s="1"/>
  <c r="I108" i="11"/>
  <c r="K108" i="11" s="1"/>
  <c r="I109" i="11"/>
  <c r="I93" i="11" s="1"/>
  <c r="K93" i="11" s="1"/>
  <c r="I117" i="11"/>
  <c r="K117" i="11" s="1"/>
  <c r="L126" i="11"/>
  <c r="O126" i="11" s="1"/>
  <c r="M126" i="11"/>
  <c r="P126" i="11" s="1"/>
  <c r="N126" i="11"/>
  <c r="O129" i="11"/>
  <c r="P129" i="11"/>
  <c r="L130" i="11"/>
  <c r="M130" i="11"/>
  <c r="N130" i="11"/>
  <c r="N128" i="11" s="1"/>
  <c r="O132" i="11"/>
  <c r="P132" i="11"/>
  <c r="L133" i="11"/>
  <c r="L131" i="11" s="1"/>
  <c r="O131" i="11" s="1"/>
  <c r="M133" i="11"/>
  <c r="M131" i="11" s="1"/>
  <c r="P131" i="11" s="1"/>
  <c r="N133" i="11"/>
  <c r="N131" i="11" s="1"/>
  <c r="J136" i="11"/>
  <c r="J137" i="11"/>
  <c r="J138" i="11"/>
  <c r="L140" i="11"/>
  <c r="M140" i="11"/>
  <c r="N140" i="11"/>
  <c r="O140" i="11"/>
  <c r="P140" i="11"/>
  <c r="O143" i="11"/>
  <c r="P143" i="11"/>
  <c r="L144" i="11"/>
  <c r="M144" i="11"/>
  <c r="M142" i="11" s="1"/>
  <c r="N144" i="11"/>
  <c r="N142" i="11" s="1"/>
  <c r="O146" i="11"/>
  <c r="P146" i="11"/>
  <c r="L147" i="11"/>
  <c r="L145" i="11" s="1"/>
  <c r="O145" i="11" s="1"/>
  <c r="M147" i="11"/>
  <c r="M145" i="11" s="1"/>
  <c r="P145" i="11" s="1"/>
  <c r="N147" i="11"/>
  <c r="N145" i="11" s="1"/>
  <c r="I150" i="11"/>
  <c r="K150" i="11" s="1"/>
  <c r="I151" i="11"/>
  <c r="K151" i="11" s="1"/>
  <c r="I152" i="11"/>
  <c r="I137" i="11" s="1"/>
  <c r="K137" i="11" s="1"/>
  <c r="I153" i="11"/>
  <c r="I138" i="11" s="1"/>
  <c r="I154" i="11"/>
  <c r="K154" i="11" s="1"/>
  <c r="J156" i="11"/>
  <c r="L158" i="11"/>
  <c r="M158" i="11"/>
  <c r="P158" i="11" s="1"/>
  <c r="N158" i="11"/>
  <c r="O158" i="11"/>
  <c r="O161" i="11"/>
  <c r="P161" i="11"/>
  <c r="L162" i="11"/>
  <c r="O162" i="11" s="1"/>
  <c r="M162" i="11"/>
  <c r="N162" i="11"/>
  <c r="N160" i="11" s="1"/>
  <c r="O164" i="11"/>
  <c r="P164" i="11"/>
  <c r="L165" i="11"/>
  <c r="O165" i="11" s="1"/>
  <c r="M165" i="11"/>
  <c r="M163" i="11" s="1"/>
  <c r="P163" i="11" s="1"/>
  <c r="N165" i="11"/>
  <c r="I167" i="11"/>
  <c r="K167" i="11" s="1"/>
  <c r="I168" i="11"/>
  <c r="K168" i="11" s="1"/>
  <c r="I169" i="11"/>
  <c r="K169" i="11" s="1"/>
  <c r="J172" i="11"/>
  <c r="L174" i="11"/>
  <c r="M174" i="11"/>
  <c r="N174" i="11"/>
  <c r="O174" i="11"/>
  <c r="P174" i="11"/>
  <c r="O177" i="11"/>
  <c r="P177" i="11"/>
  <c r="L178" i="11"/>
  <c r="M178" i="11"/>
  <c r="N178" i="11"/>
  <c r="N176" i="11" s="1"/>
  <c r="O180" i="11"/>
  <c r="P180" i="11"/>
  <c r="L181" i="11"/>
  <c r="O181" i="11" s="1"/>
  <c r="M181" i="11"/>
  <c r="M179" i="11" s="1"/>
  <c r="P179" i="11" s="1"/>
  <c r="N181" i="11"/>
  <c r="I183" i="11"/>
  <c r="I172" i="11" s="1"/>
  <c r="K184" i="11"/>
  <c r="L187" i="11"/>
  <c r="M187" i="11"/>
  <c r="N187" i="11"/>
  <c r="O187" i="11"/>
  <c r="O190" i="11"/>
  <c r="P190" i="11"/>
  <c r="L191" i="11"/>
  <c r="L189" i="11" s="1"/>
  <c r="M191" i="11"/>
  <c r="M189" i="11" s="1"/>
  <c r="N191" i="11"/>
  <c r="N189" i="11" s="1"/>
  <c r="O193" i="11"/>
  <c r="P193" i="11"/>
  <c r="L194" i="11"/>
  <c r="L192" i="11" s="1"/>
  <c r="O192" i="11" s="1"/>
  <c r="M194" i="11"/>
  <c r="M192" i="11" s="1"/>
  <c r="P192" i="11" s="1"/>
  <c r="N194" i="11"/>
  <c r="N192" i="11" s="1"/>
  <c r="J195" i="11"/>
  <c r="L196" i="11"/>
  <c r="O196" i="11" s="1"/>
  <c r="P196" i="11"/>
  <c r="I198" i="11"/>
  <c r="K198" i="11" s="1"/>
  <c r="J199" i="11"/>
  <c r="J202" i="11"/>
  <c r="N203" i="11"/>
  <c r="P203" i="11"/>
  <c r="L204" i="11"/>
  <c r="L205" i="11"/>
  <c r="L206" i="11"/>
  <c r="L207" i="11"/>
  <c r="I209" i="11"/>
  <c r="I202" i="11" s="1"/>
  <c r="K202" i="11" s="1"/>
  <c r="I211" i="11"/>
  <c r="K211" i="11" s="1"/>
  <c r="I212" i="11"/>
  <c r="K212" i="11" s="1"/>
  <c r="J213" i="11"/>
  <c r="N214" i="11"/>
  <c r="P214" i="11"/>
  <c r="L215" i="11"/>
  <c r="L216" i="11"/>
  <c r="L217" i="11"/>
  <c r="I219" i="11"/>
  <c r="K219" i="11" s="1"/>
  <c r="I220" i="11"/>
  <c r="J221" i="11"/>
  <c r="N222" i="11"/>
  <c r="P222" i="11"/>
  <c r="L223" i="11"/>
  <c r="L224" i="11"/>
  <c r="L225" i="11"/>
  <c r="I228" i="11"/>
  <c r="K228" i="11" s="1"/>
  <c r="I229" i="11"/>
  <c r="K229" i="11" s="1"/>
  <c r="I230" i="11"/>
  <c r="K230" i="11" s="1"/>
  <c r="N233" i="11"/>
  <c r="N234" i="11"/>
  <c r="N235" i="11"/>
  <c r="N236" i="11"/>
  <c r="J238" i="11"/>
  <c r="I240" i="11"/>
  <c r="J240" i="11"/>
  <c r="K240" i="11"/>
  <c r="I241" i="11"/>
  <c r="K241" i="11" s="1"/>
  <c r="J241" i="11"/>
  <c r="J242" i="11"/>
  <c r="N243" i="11"/>
  <c r="N232" i="11" s="1"/>
  <c r="P243" i="11"/>
  <c r="L244" i="11"/>
  <c r="L245" i="11"/>
  <c r="L246" i="11"/>
  <c r="L247" i="11"/>
  <c r="I249" i="11"/>
  <c r="I242" i="11" s="1"/>
  <c r="K251" i="11"/>
  <c r="K252" i="11"/>
  <c r="J253" i="11"/>
  <c r="J231" i="11" s="1"/>
  <c r="J185" i="11" s="1"/>
  <c r="N254" i="11"/>
  <c r="P254" i="11"/>
  <c r="L255" i="11"/>
  <c r="L256" i="11"/>
  <c r="L257" i="11"/>
  <c r="L258" i="11"/>
  <c r="I260" i="11"/>
  <c r="I253" i="11" s="1"/>
  <c r="K253" i="11" s="1"/>
  <c r="K262" i="11"/>
  <c r="K263" i="11"/>
  <c r="I265" i="11"/>
  <c r="J265" i="11"/>
  <c r="K265" i="11"/>
  <c r="L267" i="11"/>
  <c r="M267" i="11"/>
  <c r="N267" i="11"/>
  <c r="O267" i="11"/>
  <c r="O270" i="11"/>
  <c r="P270" i="11"/>
  <c r="L271" i="11"/>
  <c r="M271" i="11"/>
  <c r="N271" i="11"/>
  <c r="N269" i="11" s="1"/>
  <c r="O273" i="11"/>
  <c r="P273" i="11"/>
  <c r="L274" i="11"/>
  <c r="M274" i="11"/>
  <c r="M272" i="11" s="1"/>
  <c r="P272" i="11" s="1"/>
  <c r="N274" i="11"/>
  <c r="N272" i="11" s="1"/>
  <c r="J281" i="11"/>
  <c r="L283" i="11"/>
  <c r="O283" i="11" s="1"/>
  <c r="M283" i="11"/>
  <c r="P283" i="11" s="1"/>
  <c r="N283" i="11"/>
  <c r="O286" i="11"/>
  <c r="P286" i="11"/>
  <c r="L287" i="11"/>
  <c r="O287" i="11" s="1"/>
  <c r="M287" i="11"/>
  <c r="N287" i="11"/>
  <c r="N285" i="11" s="1"/>
  <c r="O289" i="11"/>
  <c r="P289" i="11"/>
  <c r="L290" i="11"/>
  <c r="O290" i="11" s="1"/>
  <c r="M290" i="11"/>
  <c r="M288" i="11" s="1"/>
  <c r="P288" i="11" s="1"/>
  <c r="N290" i="11"/>
  <c r="I292" i="11"/>
  <c r="I281" i="11" s="1"/>
  <c r="K281" i="11" s="1"/>
  <c r="I293" i="11"/>
  <c r="K293" i="11" s="1"/>
  <c r="J293" i="11"/>
  <c r="J280" i="11" s="1"/>
  <c r="I295" i="11"/>
  <c r="K295" i="11" s="1"/>
  <c r="I296" i="11"/>
  <c r="K296" i="11" s="1"/>
  <c r="J302" i="11"/>
  <c r="L304" i="11"/>
  <c r="M304" i="11"/>
  <c r="N304" i="11"/>
  <c r="O307" i="11"/>
  <c r="P307" i="11"/>
  <c r="L308" i="11"/>
  <c r="M308" i="11"/>
  <c r="M306" i="11" s="1"/>
  <c r="P306" i="11" s="1"/>
  <c r="N308" i="11"/>
  <c r="N306" i="11" s="1"/>
  <c r="O310" i="11"/>
  <c r="P310" i="11"/>
  <c r="L311" i="11"/>
  <c r="L309" i="11" s="1"/>
  <c r="O309" i="11" s="1"/>
  <c r="M311" i="11"/>
  <c r="M309" i="11" s="1"/>
  <c r="P309" i="11" s="1"/>
  <c r="N311" i="11"/>
  <c r="N309" i="11" s="1"/>
  <c r="I314" i="11"/>
  <c r="K314" i="11" s="1"/>
  <c r="I315" i="11"/>
  <c r="K315" i="11" s="1"/>
  <c r="I316" i="11"/>
  <c r="K316" i="11" s="1"/>
  <c r="I317" i="11"/>
  <c r="K317" i="11" s="1"/>
  <c r="J319" i="11"/>
  <c r="L321" i="11"/>
  <c r="O321" i="11" s="1"/>
  <c r="M321" i="11"/>
  <c r="N321" i="11"/>
  <c r="P321" i="11"/>
  <c r="O324" i="11"/>
  <c r="P324" i="11"/>
  <c r="L325" i="11"/>
  <c r="L323" i="11" s="1"/>
  <c r="O323" i="11" s="1"/>
  <c r="M325" i="11"/>
  <c r="N325" i="11"/>
  <c r="N323" i="11" s="1"/>
  <c r="O327" i="11"/>
  <c r="P327" i="11"/>
  <c r="L328" i="11"/>
  <c r="M328" i="11"/>
  <c r="N328" i="11"/>
  <c r="N326" i="11" s="1"/>
  <c r="I330" i="11"/>
  <c r="I319" i="11" s="1"/>
  <c r="K319" i="11" s="1"/>
  <c r="L334" i="11"/>
  <c r="M334" i="11"/>
  <c r="P334" i="11" s="1"/>
  <c r="N334" i="11"/>
  <c r="O337" i="11"/>
  <c r="P337" i="11"/>
  <c r="L338" i="11"/>
  <c r="M338" i="11"/>
  <c r="N338" i="11"/>
  <c r="N336" i="11" s="1"/>
  <c r="O340" i="11"/>
  <c r="P340" i="11"/>
  <c r="L341" i="11"/>
  <c r="O341" i="11" s="1"/>
  <c r="M341" i="11"/>
  <c r="P341" i="11" s="1"/>
  <c r="N341" i="11"/>
  <c r="N339" i="11" s="1"/>
  <c r="I344" i="11"/>
  <c r="J344" i="11"/>
  <c r="I346" i="11"/>
  <c r="J346" i="11"/>
  <c r="J347" i="11"/>
  <c r="J348" i="11"/>
  <c r="J349" i="11"/>
  <c r="D350" i="11"/>
  <c r="J352" i="11"/>
  <c r="J353" i="11"/>
  <c r="D354" i="11"/>
  <c r="L357" i="11"/>
  <c r="M357" i="11"/>
  <c r="P357" i="11" s="1"/>
  <c r="N357" i="11"/>
  <c r="O360" i="11"/>
  <c r="P360" i="11"/>
  <c r="L361" i="11"/>
  <c r="M361" i="11"/>
  <c r="N361" i="11"/>
  <c r="N359" i="11" s="1"/>
  <c r="O363" i="11"/>
  <c r="P363" i="11"/>
  <c r="L364" i="11"/>
  <c r="O364" i="11" s="1"/>
  <c r="M364" i="11"/>
  <c r="P364" i="11" s="1"/>
  <c r="N364" i="11"/>
  <c r="N362" i="11" s="1"/>
  <c r="J367" i="11"/>
  <c r="K367" i="11"/>
  <c r="I368" i="11"/>
  <c r="J368" i="11"/>
  <c r="I369" i="11"/>
  <c r="J369" i="11"/>
  <c r="J370" i="11"/>
  <c r="K370" i="11"/>
  <c r="I371" i="11"/>
  <c r="J371" i="11"/>
  <c r="J365" i="11" s="1"/>
  <c r="J372" i="11"/>
  <c r="K372" i="11"/>
  <c r="D373" i="11"/>
  <c r="I376" i="11"/>
  <c r="K376" i="11" s="1"/>
  <c r="J376" i="11"/>
  <c r="L378" i="11"/>
  <c r="O378" i="11" s="1"/>
  <c r="M378" i="11"/>
  <c r="N378" i="11"/>
  <c r="P378" i="11"/>
  <c r="O381" i="11"/>
  <c r="P381" i="11"/>
  <c r="L382" i="11"/>
  <c r="O382" i="11" s="1"/>
  <c r="M382" i="11"/>
  <c r="M380" i="11" s="1"/>
  <c r="P380" i="11" s="1"/>
  <c r="N382" i="11"/>
  <c r="N380" i="11" s="1"/>
  <c r="O384" i="11"/>
  <c r="P384" i="11"/>
  <c r="L385" i="11"/>
  <c r="O385" i="11" s="1"/>
  <c r="M385" i="11"/>
  <c r="P385" i="11" s="1"/>
  <c r="N385" i="11"/>
  <c r="N383" i="11" s="1"/>
  <c r="K387" i="11"/>
  <c r="K388" i="11"/>
  <c r="A391" i="11"/>
  <c r="L22" i="10"/>
  <c r="M22" i="10"/>
  <c r="N22" i="10"/>
  <c r="O22" i="10"/>
  <c r="P22" i="10"/>
  <c r="L25" i="10"/>
  <c r="L19" i="10" s="1"/>
  <c r="M25" i="10"/>
  <c r="N25" i="10"/>
  <c r="L45" i="10"/>
  <c r="M45" i="10"/>
  <c r="P45" i="10" s="1"/>
  <c r="N45" i="10"/>
  <c r="O45" i="10"/>
  <c r="O48" i="10"/>
  <c r="P48" i="10"/>
  <c r="L49" i="10"/>
  <c r="L47" i="10" s="1"/>
  <c r="M49" i="10"/>
  <c r="M47" i="10" s="1"/>
  <c r="N49" i="10"/>
  <c r="N47" i="10" s="1"/>
  <c r="O51" i="10"/>
  <c r="P51" i="10"/>
  <c r="L52" i="10"/>
  <c r="L50" i="10" s="1"/>
  <c r="O50" i="10" s="1"/>
  <c r="M52" i="10"/>
  <c r="M50" i="10" s="1"/>
  <c r="P50" i="10" s="1"/>
  <c r="N52" i="10"/>
  <c r="N50" i="10" s="1"/>
  <c r="L60" i="10"/>
  <c r="M60" i="10"/>
  <c r="P60" i="10" s="1"/>
  <c r="N60" i="10"/>
  <c r="O63" i="10"/>
  <c r="P63" i="10"/>
  <c r="L64" i="10"/>
  <c r="M64" i="10"/>
  <c r="N64" i="10"/>
  <c r="N62" i="10" s="1"/>
  <c r="O66" i="10"/>
  <c r="P66" i="10"/>
  <c r="L67" i="10"/>
  <c r="M67" i="10"/>
  <c r="N67" i="10"/>
  <c r="N65" i="10" s="1"/>
  <c r="J71" i="10"/>
  <c r="L73" i="10"/>
  <c r="M73" i="10"/>
  <c r="N73" i="10"/>
  <c r="O73" i="10"/>
  <c r="P73" i="10"/>
  <c r="O76" i="10"/>
  <c r="P76" i="10"/>
  <c r="L77" i="10"/>
  <c r="L75" i="10" s="1"/>
  <c r="O75" i="10" s="1"/>
  <c r="M77" i="10"/>
  <c r="N77" i="10"/>
  <c r="N75" i="10" s="1"/>
  <c r="O79" i="10"/>
  <c r="P79" i="10"/>
  <c r="L80" i="10"/>
  <c r="L78" i="10" s="1"/>
  <c r="O78" i="10" s="1"/>
  <c r="M80" i="10"/>
  <c r="M78" i="10" s="1"/>
  <c r="P78" i="10" s="1"/>
  <c r="N80" i="10"/>
  <c r="N78" i="10" s="1"/>
  <c r="J82" i="10"/>
  <c r="J70" i="10" s="1"/>
  <c r="J83" i="10"/>
  <c r="I84" i="10"/>
  <c r="I85" i="10"/>
  <c r="K85" i="10" s="1"/>
  <c r="I86" i="10"/>
  <c r="K86" i="10" s="1"/>
  <c r="I87" i="10"/>
  <c r="I88" i="10"/>
  <c r="K88" i="10" s="1"/>
  <c r="I89" i="10"/>
  <c r="K89" i="10" s="1"/>
  <c r="I90" i="10"/>
  <c r="K90" i="10" s="1"/>
  <c r="J92" i="10"/>
  <c r="J93" i="10"/>
  <c r="L95" i="10"/>
  <c r="M95" i="10"/>
  <c r="N95" i="10"/>
  <c r="P95" i="10"/>
  <c r="O98" i="10"/>
  <c r="P98" i="10"/>
  <c r="L99" i="10"/>
  <c r="L97" i="10" s="1"/>
  <c r="O97" i="10" s="1"/>
  <c r="M99" i="10"/>
  <c r="M97" i="10" s="1"/>
  <c r="P97" i="10" s="1"/>
  <c r="N99" i="10"/>
  <c r="N97" i="10" s="1"/>
  <c r="O101" i="10"/>
  <c r="P101" i="10"/>
  <c r="L102" i="10"/>
  <c r="O102" i="10" s="1"/>
  <c r="M102" i="10"/>
  <c r="M100" i="10" s="1"/>
  <c r="P100" i="10" s="1"/>
  <c r="N102" i="10"/>
  <c r="N100" i="10" s="1"/>
  <c r="I108" i="10"/>
  <c r="I109" i="10"/>
  <c r="K109" i="10" s="1"/>
  <c r="I117" i="10"/>
  <c r="K117" i="10" s="1"/>
  <c r="L126" i="10"/>
  <c r="M126" i="10"/>
  <c r="N126" i="10"/>
  <c r="O126" i="10"/>
  <c r="O129" i="10"/>
  <c r="P129" i="10"/>
  <c r="L130" i="10"/>
  <c r="L128" i="10" s="1"/>
  <c r="O128" i="10" s="1"/>
  <c r="M130" i="10"/>
  <c r="N130" i="10"/>
  <c r="N128" i="10" s="1"/>
  <c r="O132" i="10"/>
  <c r="P132" i="10"/>
  <c r="L133" i="10"/>
  <c r="L131" i="10" s="1"/>
  <c r="O131" i="10" s="1"/>
  <c r="M133" i="10"/>
  <c r="M131" i="10" s="1"/>
  <c r="P131" i="10" s="1"/>
  <c r="N133" i="10"/>
  <c r="J136" i="10"/>
  <c r="J137" i="10"/>
  <c r="J138" i="10"/>
  <c r="L140" i="10"/>
  <c r="O140" i="10" s="1"/>
  <c r="M140" i="10"/>
  <c r="N140" i="10"/>
  <c r="O143" i="10"/>
  <c r="P143" i="10"/>
  <c r="L144" i="10"/>
  <c r="L142" i="10" s="1"/>
  <c r="O142" i="10" s="1"/>
  <c r="M144" i="10"/>
  <c r="M142" i="10" s="1"/>
  <c r="P142" i="10" s="1"/>
  <c r="N144" i="10"/>
  <c r="N142" i="10" s="1"/>
  <c r="O146" i="10"/>
  <c r="P146" i="10"/>
  <c r="L147" i="10"/>
  <c r="L145" i="10" s="1"/>
  <c r="O145" i="10" s="1"/>
  <c r="M147" i="10"/>
  <c r="M145" i="10" s="1"/>
  <c r="P145" i="10" s="1"/>
  <c r="N147" i="10"/>
  <c r="N145" i="10" s="1"/>
  <c r="I150" i="10"/>
  <c r="K150" i="10" s="1"/>
  <c r="I151" i="10"/>
  <c r="K151" i="10" s="1"/>
  <c r="I152" i="10"/>
  <c r="I137" i="10" s="1"/>
  <c r="K137" i="10" s="1"/>
  <c r="I153" i="10"/>
  <c r="I138" i="10" s="1"/>
  <c r="K138" i="10" s="1"/>
  <c r="I154" i="10"/>
  <c r="I136" i="10" s="1"/>
  <c r="K136" i="10" s="1"/>
  <c r="J156" i="10"/>
  <c r="L158" i="10"/>
  <c r="O158" i="10" s="1"/>
  <c r="M158" i="10"/>
  <c r="P158" i="10" s="1"/>
  <c r="N158" i="10"/>
  <c r="O161" i="10"/>
  <c r="P161" i="10"/>
  <c r="L162" i="10"/>
  <c r="M162" i="10"/>
  <c r="M160" i="10" s="1"/>
  <c r="P160" i="10" s="1"/>
  <c r="N162" i="10"/>
  <c r="N160" i="10" s="1"/>
  <c r="O164" i="10"/>
  <c r="P164" i="10"/>
  <c r="L165" i="10"/>
  <c r="M165" i="10"/>
  <c r="M163" i="10" s="1"/>
  <c r="P163" i="10" s="1"/>
  <c r="N165" i="10"/>
  <c r="N163" i="10" s="1"/>
  <c r="I167" i="10"/>
  <c r="K167" i="10" s="1"/>
  <c r="I168" i="10"/>
  <c r="K168" i="10" s="1"/>
  <c r="I169" i="10"/>
  <c r="I156" i="10" s="1"/>
  <c r="K156" i="10" s="1"/>
  <c r="J172" i="10"/>
  <c r="L174" i="10"/>
  <c r="M174" i="10"/>
  <c r="N174" i="10"/>
  <c r="O174" i="10"/>
  <c r="P174" i="10"/>
  <c r="O177" i="10"/>
  <c r="P177" i="10"/>
  <c r="L178" i="10"/>
  <c r="M178" i="10"/>
  <c r="N178" i="10"/>
  <c r="N176" i="10" s="1"/>
  <c r="O180" i="10"/>
  <c r="P180" i="10"/>
  <c r="L181" i="10"/>
  <c r="M181" i="10"/>
  <c r="M179" i="10" s="1"/>
  <c r="P179" i="10" s="1"/>
  <c r="N181" i="10"/>
  <c r="N179" i="10" s="1"/>
  <c r="I183" i="10"/>
  <c r="I172" i="10" s="1"/>
  <c r="K172" i="10" s="1"/>
  <c r="K184" i="10"/>
  <c r="L187" i="10"/>
  <c r="M187" i="10"/>
  <c r="P187" i="10" s="1"/>
  <c r="N187" i="10"/>
  <c r="O190" i="10"/>
  <c r="P190" i="10"/>
  <c r="L191" i="10"/>
  <c r="L189" i="10" s="1"/>
  <c r="M191" i="10"/>
  <c r="N191" i="10"/>
  <c r="N189" i="10" s="1"/>
  <c r="O193" i="10"/>
  <c r="P193" i="10"/>
  <c r="L194" i="10"/>
  <c r="L192" i="10" s="1"/>
  <c r="O192" i="10" s="1"/>
  <c r="M194" i="10"/>
  <c r="N194" i="10"/>
  <c r="N192" i="10" s="1"/>
  <c r="J195" i="10"/>
  <c r="L196" i="10"/>
  <c r="O196" i="10" s="1"/>
  <c r="P196" i="10"/>
  <c r="I198" i="10"/>
  <c r="I195" i="10" s="1"/>
  <c r="K195" i="10" s="1"/>
  <c r="J199" i="10"/>
  <c r="J202" i="10"/>
  <c r="N203" i="10"/>
  <c r="P203" i="10"/>
  <c r="L204" i="10"/>
  <c r="L205" i="10"/>
  <c r="L206" i="10"/>
  <c r="L207" i="10"/>
  <c r="I209" i="10"/>
  <c r="I211" i="10"/>
  <c r="K211" i="10" s="1"/>
  <c r="I212" i="10"/>
  <c r="K212" i="10" s="1"/>
  <c r="J213" i="10"/>
  <c r="N214" i="10"/>
  <c r="P214" i="10"/>
  <c r="L215" i="10"/>
  <c r="L216" i="10"/>
  <c r="L217" i="10"/>
  <c r="I219" i="10"/>
  <c r="K219" i="10" s="1"/>
  <c r="I220" i="10"/>
  <c r="K220" i="10" s="1"/>
  <c r="J221" i="10"/>
  <c r="N222" i="10"/>
  <c r="P222" i="10"/>
  <c r="L223" i="10"/>
  <c r="L224" i="10"/>
  <c r="L225" i="10"/>
  <c r="I228" i="10"/>
  <c r="K228" i="10" s="1"/>
  <c r="I229" i="10"/>
  <c r="K229" i="10" s="1"/>
  <c r="I230" i="10"/>
  <c r="N233" i="10"/>
  <c r="N234" i="10"/>
  <c r="N235" i="10"/>
  <c r="N236" i="10"/>
  <c r="J238" i="10"/>
  <c r="I240" i="10"/>
  <c r="K240" i="10" s="1"/>
  <c r="J240" i="10"/>
  <c r="I241" i="10"/>
  <c r="K241" i="10" s="1"/>
  <c r="J241" i="10"/>
  <c r="J242" i="10"/>
  <c r="N243" i="10"/>
  <c r="P243" i="10"/>
  <c r="L244" i="10"/>
  <c r="L245" i="10"/>
  <c r="L246" i="10"/>
  <c r="L247" i="10"/>
  <c r="I249" i="10"/>
  <c r="K249" i="10" s="1"/>
  <c r="K251" i="10"/>
  <c r="K252" i="10"/>
  <c r="J253" i="10"/>
  <c r="J231" i="10" s="1"/>
  <c r="J185" i="10" s="1"/>
  <c r="N254" i="10"/>
  <c r="P254" i="10"/>
  <c r="L255" i="10"/>
  <c r="L256" i="10"/>
  <c r="L257" i="10"/>
  <c r="L258" i="10"/>
  <c r="I260" i="10"/>
  <c r="K262" i="10"/>
  <c r="K263" i="10"/>
  <c r="I265" i="10"/>
  <c r="J265" i="10"/>
  <c r="K265" i="10"/>
  <c r="L267" i="10"/>
  <c r="O267" i="10" s="1"/>
  <c r="M267" i="10"/>
  <c r="P267" i="10" s="1"/>
  <c r="N267" i="10"/>
  <c r="O270" i="10"/>
  <c r="P270" i="10"/>
  <c r="L271" i="10"/>
  <c r="L269" i="10" s="1"/>
  <c r="O269" i="10" s="1"/>
  <c r="M271" i="10"/>
  <c r="N271" i="10"/>
  <c r="O273" i="10"/>
  <c r="P273" i="10"/>
  <c r="L274" i="10"/>
  <c r="L272" i="10" s="1"/>
  <c r="O272" i="10" s="1"/>
  <c r="M274" i="10"/>
  <c r="N274" i="10"/>
  <c r="N272" i="10" s="1"/>
  <c r="J281" i="10"/>
  <c r="L283" i="10"/>
  <c r="M283" i="10"/>
  <c r="N283" i="10"/>
  <c r="O283" i="10"/>
  <c r="P283" i="10"/>
  <c r="O286" i="10"/>
  <c r="P286" i="10"/>
  <c r="L287" i="10"/>
  <c r="O287" i="10" s="1"/>
  <c r="M287" i="10"/>
  <c r="N287" i="10"/>
  <c r="N285" i="10" s="1"/>
  <c r="O289" i="10"/>
  <c r="P289" i="10"/>
  <c r="L290" i="10"/>
  <c r="O290" i="10" s="1"/>
  <c r="M290" i="10"/>
  <c r="M288" i="10" s="1"/>
  <c r="P288" i="10" s="1"/>
  <c r="N290" i="10"/>
  <c r="N288" i="10" s="1"/>
  <c r="I292" i="10"/>
  <c r="K292" i="10" s="1"/>
  <c r="I293" i="10"/>
  <c r="I280" i="10" s="1"/>
  <c r="K280" i="10" s="1"/>
  <c r="J293" i="10"/>
  <c r="J280" i="10" s="1"/>
  <c r="I295" i="10"/>
  <c r="K295" i="10" s="1"/>
  <c r="I296" i="10"/>
  <c r="K296" i="10" s="1"/>
  <c r="J302" i="10"/>
  <c r="L304" i="10"/>
  <c r="O304" i="10" s="1"/>
  <c r="M304" i="10"/>
  <c r="P304" i="10" s="1"/>
  <c r="N304" i="10"/>
  <c r="O307" i="10"/>
  <c r="P307" i="10"/>
  <c r="L308" i="10"/>
  <c r="L306" i="10" s="1"/>
  <c r="O306" i="10" s="1"/>
  <c r="M308" i="10"/>
  <c r="N308" i="10"/>
  <c r="N306" i="10" s="1"/>
  <c r="O310" i="10"/>
  <c r="P310" i="10"/>
  <c r="L311" i="10"/>
  <c r="L309" i="10" s="1"/>
  <c r="O309" i="10" s="1"/>
  <c r="M311" i="10"/>
  <c r="N311" i="10"/>
  <c r="N309" i="10" s="1"/>
  <c r="I314" i="10"/>
  <c r="I302" i="10" s="1"/>
  <c r="K302" i="10" s="1"/>
  <c r="I315" i="10"/>
  <c r="K315" i="10" s="1"/>
  <c r="I316" i="10"/>
  <c r="K316" i="10" s="1"/>
  <c r="I317" i="10"/>
  <c r="K317" i="10" s="1"/>
  <c r="J319" i="10"/>
  <c r="L321" i="10"/>
  <c r="M321" i="10"/>
  <c r="N321" i="10"/>
  <c r="P321" i="10"/>
  <c r="O324" i="10"/>
  <c r="P324" i="10"/>
  <c r="L325" i="10"/>
  <c r="O325" i="10" s="1"/>
  <c r="M325" i="10"/>
  <c r="N325" i="10"/>
  <c r="N323" i="10" s="1"/>
  <c r="O327" i="10"/>
  <c r="P327" i="10"/>
  <c r="L328" i="10"/>
  <c r="O328" i="10" s="1"/>
  <c r="M328" i="10"/>
  <c r="P328" i="10" s="1"/>
  <c r="N328" i="10"/>
  <c r="I330" i="10"/>
  <c r="I319" i="10" s="1"/>
  <c r="K319" i="10" s="1"/>
  <c r="L334" i="10"/>
  <c r="M334" i="10"/>
  <c r="N334" i="10"/>
  <c r="O334" i="10"/>
  <c r="P334" i="10"/>
  <c r="O337" i="10"/>
  <c r="P337" i="10"/>
  <c r="L338" i="10"/>
  <c r="M338" i="10"/>
  <c r="M336" i="10" s="1"/>
  <c r="N338" i="10"/>
  <c r="N336" i="10" s="1"/>
  <c r="O340" i="10"/>
  <c r="P340" i="10"/>
  <c r="L341" i="10"/>
  <c r="L339" i="10" s="1"/>
  <c r="O339" i="10" s="1"/>
  <c r="M341" i="10"/>
  <c r="M339" i="10" s="1"/>
  <c r="P339" i="10" s="1"/>
  <c r="N341" i="10"/>
  <c r="N339" i="10" s="1"/>
  <c r="I344" i="10"/>
  <c r="J344" i="10"/>
  <c r="I346" i="10"/>
  <c r="J346" i="10"/>
  <c r="J347" i="10"/>
  <c r="J348" i="10"/>
  <c r="J349" i="10"/>
  <c r="D350" i="10"/>
  <c r="J352" i="10"/>
  <c r="J353" i="10"/>
  <c r="D354" i="10"/>
  <c r="L357" i="10"/>
  <c r="M357" i="10"/>
  <c r="N357" i="10"/>
  <c r="O357" i="10"/>
  <c r="P357" i="10"/>
  <c r="O360" i="10"/>
  <c r="P360" i="10"/>
  <c r="L361" i="10"/>
  <c r="M361" i="10"/>
  <c r="M359" i="10" s="1"/>
  <c r="N361" i="10"/>
  <c r="N359" i="10" s="1"/>
  <c r="O363" i="10"/>
  <c r="P363" i="10"/>
  <c r="L364" i="10"/>
  <c r="L362" i="10" s="1"/>
  <c r="O362" i="10" s="1"/>
  <c r="M364" i="10"/>
  <c r="M362" i="10" s="1"/>
  <c r="P362" i="10" s="1"/>
  <c r="N364" i="10"/>
  <c r="N362" i="10" s="1"/>
  <c r="J367" i="10"/>
  <c r="K367" i="10"/>
  <c r="I368" i="10"/>
  <c r="J368" i="10"/>
  <c r="I369" i="10"/>
  <c r="J369" i="10"/>
  <c r="J370" i="10"/>
  <c r="K370" i="10"/>
  <c r="I371" i="10"/>
  <c r="J371" i="10"/>
  <c r="J365" i="10" s="1"/>
  <c r="J372" i="10"/>
  <c r="K372" i="10"/>
  <c r="D373" i="10"/>
  <c r="I376" i="10"/>
  <c r="K376" i="10" s="1"/>
  <c r="J376" i="10"/>
  <c r="L378" i="10"/>
  <c r="O378" i="10" s="1"/>
  <c r="M378" i="10"/>
  <c r="P378" i="10" s="1"/>
  <c r="N378" i="10"/>
  <c r="O381" i="10"/>
  <c r="P381" i="10"/>
  <c r="L382" i="10"/>
  <c r="L380" i="10" s="1"/>
  <c r="O380" i="10" s="1"/>
  <c r="M382" i="10"/>
  <c r="M380" i="10" s="1"/>
  <c r="P380" i="10" s="1"/>
  <c r="N382" i="10"/>
  <c r="N380" i="10" s="1"/>
  <c r="O384" i="10"/>
  <c r="P384" i="10"/>
  <c r="L385" i="10"/>
  <c r="L383" i="10" s="1"/>
  <c r="O383" i="10" s="1"/>
  <c r="M385" i="10"/>
  <c r="M383" i="10" s="1"/>
  <c r="P383" i="10" s="1"/>
  <c r="N385" i="10"/>
  <c r="N383" i="10" s="1"/>
  <c r="K387" i="10"/>
  <c r="K388" i="10"/>
  <c r="A391" i="10"/>
  <c r="L22" i="9"/>
  <c r="L19" i="9" s="1"/>
  <c r="M22" i="9"/>
  <c r="N22" i="9"/>
  <c r="L25" i="9"/>
  <c r="M25" i="9"/>
  <c r="P25" i="9" s="1"/>
  <c r="N25" i="9"/>
  <c r="O25" i="9"/>
  <c r="L45" i="9"/>
  <c r="M45" i="9"/>
  <c r="P45" i="9" s="1"/>
  <c r="N45" i="9"/>
  <c r="O45" i="9"/>
  <c r="O48" i="9"/>
  <c r="P48" i="9"/>
  <c r="L49" i="9"/>
  <c r="L47" i="9" s="1"/>
  <c r="M49" i="9"/>
  <c r="M47" i="9" s="1"/>
  <c r="N49" i="9"/>
  <c r="N47" i="9" s="1"/>
  <c r="O51" i="9"/>
  <c r="P51" i="9"/>
  <c r="L52" i="9"/>
  <c r="L50" i="9" s="1"/>
  <c r="O50" i="9" s="1"/>
  <c r="M52" i="9"/>
  <c r="P52" i="9" s="1"/>
  <c r="N52" i="9"/>
  <c r="L60" i="9"/>
  <c r="M60" i="9"/>
  <c r="N60" i="9"/>
  <c r="P60" i="9"/>
  <c r="O63" i="9"/>
  <c r="P63" i="9"/>
  <c r="L64" i="9"/>
  <c r="M64" i="9"/>
  <c r="N64" i="9"/>
  <c r="N62" i="9" s="1"/>
  <c r="O66" i="9"/>
  <c r="P66" i="9"/>
  <c r="L67" i="9"/>
  <c r="M67" i="9"/>
  <c r="P67" i="9" s="1"/>
  <c r="N67" i="9"/>
  <c r="N65" i="9" s="1"/>
  <c r="L73" i="9"/>
  <c r="M73" i="9"/>
  <c r="P73" i="9" s="1"/>
  <c r="N73" i="9"/>
  <c r="O73" i="9"/>
  <c r="O76" i="9"/>
  <c r="P76" i="9"/>
  <c r="L77" i="9"/>
  <c r="L75" i="9" s="1"/>
  <c r="O75" i="9" s="1"/>
  <c r="M77" i="9"/>
  <c r="M75" i="9" s="1"/>
  <c r="P75" i="9" s="1"/>
  <c r="N77" i="9"/>
  <c r="N75" i="9" s="1"/>
  <c r="O79" i="9"/>
  <c r="P79" i="9"/>
  <c r="L80" i="9"/>
  <c r="L78" i="9" s="1"/>
  <c r="O78" i="9" s="1"/>
  <c r="M80" i="9"/>
  <c r="M78" i="9" s="1"/>
  <c r="P78" i="9" s="1"/>
  <c r="N80" i="9"/>
  <c r="N78" i="9" s="1"/>
  <c r="J82" i="9"/>
  <c r="J70" i="9" s="1"/>
  <c r="J83" i="9"/>
  <c r="J71" i="9" s="1"/>
  <c r="I84" i="9"/>
  <c r="I85" i="9"/>
  <c r="K85" i="9" s="1"/>
  <c r="I86" i="9"/>
  <c r="K86" i="9" s="1"/>
  <c r="I87" i="9"/>
  <c r="K87" i="9" s="1"/>
  <c r="I88" i="9"/>
  <c r="K88" i="9" s="1"/>
  <c r="I89" i="9"/>
  <c r="K89" i="9" s="1"/>
  <c r="I90" i="9"/>
  <c r="K90" i="9" s="1"/>
  <c r="J92" i="9"/>
  <c r="J93" i="9"/>
  <c r="L95" i="9"/>
  <c r="M95" i="9"/>
  <c r="N95" i="9"/>
  <c r="O95" i="9"/>
  <c r="P95" i="9"/>
  <c r="O98" i="9"/>
  <c r="P98" i="9"/>
  <c r="L99" i="9"/>
  <c r="L97" i="9" s="1"/>
  <c r="O97" i="9" s="1"/>
  <c r="M99" i="9"/>
  <c r="M97" i="9" s="1"/>
  <c r="P97" i="9" s="1"/>
  <c r="N99" i="9"/>
  <c r="N97" i="9" s="1"/>
  <c r="O101" i="9"/>
  <c r="P101" i="9"/>
  <c r="L102" i="9"/>
  <c r="L100" i="9" s="1"/>
  <c r="O100" i="9" s="1"/>
  <c r="M102" i="9"/>
  <c r="M100" i="9" s="1"/>
  <c r="P100" i="9" s="1"/>
  <c r="N102" i="9"/>
  <c r="N100" i="9" s="1"/>
  <c r="I108" i="9"/>
  <c r="I109" i="9"/>
  <c r="K109" i="9" s="1"/>
  <c r="I117" i="9"/>
  <c r="K117" i="9" s="1"/>
  <c r="L126" i="9"/>
  <c r="O126" i="9" s="1"/>
  <c r="M126" i="9"/>
  <c r="N126" i="9"/>
  <c r="O129" i="9"/>
  <c r="P129" i="9"/>
  <c r="L130" i="9"/>
  <c r="M130" i="9"/>
  <c r="P130" i="9" s="1"/>
  <c r="N130" i="9"/>
  <c r="N128" i="9" s="1"/>
  <c r="O132" i="9"/>
  <c r="P132" i="9"/>
  <c r="L133" i="9"/>
  <c r="M133" i="9"/>
  <c r="P133" i="9" s="1"/>
  <c r="N133" i="9"/>
  <c r="J136" i="9"/>
  <c r="J137" i="9"/>
  <c r="J138" i="9"/>
  <c r="L140" i="9"/>
  <c r="O140" i="9" s="1"/>
  <c r="M140" i="9"/>
  <c r="N140" i="9"/>
  <c r="O143" i="9"/>
  <c r="P143" i="9"/>
  <c r="L144" i="9"/>
  <c r="M144" i="9"/>
  <c r="P144" i="9" s="1"/>
  <c r="N144" i="9"/>
  <c r="N142" i="9" s="1"/>
  <c r="O146" i="9"/>
  <c r="P146" i="9"/>
  <c r="L147" i="9"/>
  <c r="M147" i="9"/>
  <c r="P147" i="9" s="1"/>
  <c r="N147" i="9"/>
  <c r="I150" i="9"/>
  <c r="K150" i="9" s="1"/>
  <c r="I151" i="9"/>
  <c r="K151" i="9" s="1"/>
  <c r="I152" i="9"/>
  <c r="K152" i="9" s="1"/>
  <c r="I153" i="9"/>
  <c r="I138" i="9" s="1"/>
  <c r="K138" i="9" s="1"/>
  <c r="I154" i="9"/>
  <c r="I136" i="9" s="1"/>
  <c r="K136" i="9" s="1"/>
  <c r="J156" i="9"/>
  <c r="L158" i="9"/>
  <c r="M158" i="9"/>
  <c r="P158" i="9" s="1"/>
  <c r="N158" i="9"/>
  <c r="O158" i="9"/>
  <c r="O161" i="9"/>
  <c r="P161" i="9"/>
  <c r="L162" i="9"/>
  <c r="L160" i="9" s="1"/>
  <c r="O160" i="9" s="1"/>
  <c r="M162" i="9"/>
  <c r="M160" i="9" s="1"/>
  <c r="P160" i="9" s="1"/>
  <c r="N162" i="9"/>
  <c r="N160" i="9" s="1"/>
  <c r="O164" i="9"/>
  <c r="P164" i="9"/>
  <c r="L165" i="9"/>
  <c r="L163" i="9" s="1"/>
  <c r="O163" i="9" s="1"/>
  <c r="M165" i="9"/>
  <c r="M163" i="9" s="1"/>
  <c r="P163" i="9" s="1"/>
  <c r="N165" i="9"/>
  <c r="N163" i="9" s="1"/>
  <c r="I167" i="9"/>
  <c r="K167" i="9" s="1"/>
  <c r="I168" i="9"/>
  <c r="K168" i="9" s="1"/>
  <c r="I169" i="9"/>
  <c r="I156" i="9" s="1"/>
  <c r="K156" i="9" s="1"/>
  <c r="J172" i="9"/>
  <c r="L174" i="9"/>
  <c r="M174" i="9"/>
  <c r="P174" i="9" s="1"/>
  <c r="N174" i="9"/>
  <c r="O174" i="9"/>
  <c r="O177" i="9"/>
  <c r="P177" i="9"/>
  <c r="L178" i="9"/>
  <c r="L176" i="9" s="1"/>
  <c r="O176" i="9" s="1"/>
  <c r="M178" i="9"/>
  <c r="M176" i="9" s="1"/>
  <c r="P176" i="9" s="1"/>
  <c r="N178" i="9"/>
  <c r="N176" i="9" s="1"/>
  <c r="O180" i="9"/>
  <c r="P180" i="9"/>
  <c r="L181" i="9"/>
  <c r="L179" i="9" s="1"/>
  <c r="O179" i="9" s="1"/>
  <c r="M181" i="9"/>
  <c r="M179" i="9" s="1"/>
  <c r="P179" i="9" s="1"/>
  <c r="N181" i="9"/>
  <c r="N179" i="9" s="1"/>
  <c r="I183" i="9"/>
  <c r="I172" i="9" s="1"/>
  <c r="K172" i="9" s="1"/>
  <c r="K184" i="9"/>
  <c r="L187" i="9"/>
  <c r="M187" i="9"/>
  <c r="N187" i="9"/>
  <c r="P187" i="9"/>
  <c r="O190" i="9"/>
  <c r="P190" i="9"/>
  <c r="L191" i="9"/>
  <c r="M191" i="9"/>
  <c r="N191" i="9"/>
  <c r="N189" i="9" s="1"/>
  <c r="O193" i="9"/>
  <c r="P193" i="9"/>
  <c r="L194" i="9"/>
  <c r="O194" i="9" s="1"/>
  <c r="M194" i="9"/>
  <c r="P194" i="9" s="1"/>
  <c r="N194" i="9"/>
  <c r="N192" i="9" s="1"/>
  <c r="J195" i="9"/>
  <c r="L196" i="9"/>
  <c r="O196" i="9" s="1"/>
  <c r="P196" i="9"/>
  <c r="I198" i="9"/>
  <c r="I195" i="9" s="1"/>
  <c r="J199" i="9"/>
  <c r="J202" i="9"/>
  <c r="N203" i="9"/>
  <c r="P203" i="9"/>
  <c r="L204" i="9"/>
  <c r="L205" i="9"/>
  <c r="L206" i="9"/>
  <c r="I209" i="9"/>
  <c r="I202" i="9" s="1"/>
  <c r="K202" i="9" s="1"/>
  <c r="I211" i="9"/>
  <c r="K211" i="9" s="1"/>
  <c r="I212" i="9"/>
  <c r="K212" i="9" s="1"/>
  <c r="J213" i="9"/>
  <c r="N214" i="9"/>
  <c r="P214" i="9"/>
  <c r="L215" i="9"/>
  <c r="L216" i="9"/>
  <c r="L217" i="9"/>
  <c r="I219" i="9"/>
  <c r="K219" i="9" s="1"/>
  <c r="I220" i="9"/>
  <c r="I213" i="9" s="1"/>
  <c r="K213" i="9" s="1"/>
  <c r="J221" i="9"/>
  <c r="N222" i="9"/>
  <c r="P222" i="9"/>
  <c r="L223" i="9"/>
  <c r="L224" i="9"/>
  <c r="L225" i="9"/>
  <c r="I228" i="9"/>
  <c r="K228" i="9" s="1"/>
  <c r="I229" i="9"/>
  <c r="I221" i="9" s="1"/>
  <c r="K221" i="9" s="1"/>
  <c r="I230" i="9"/>
  <c r="K230" i="9" s="1"/>
  <c r="N233" i="9"/>
  <c r="N234" i="9"/>
  <c r="N235" i="9"/>
  <c r="N236" i="9"/>
  <c r="J238" i="9"/>
  <c r="I240" i="9"/>
  <c r="K240" i="9" s="1"/>
  <c r="J240" i="9"/>
  <c r="I241" i="9"/>
  <c r="K241" i="9" s="1"/>
  <c r="J241" i="9"/>
  <c r="J242" i="9"/>
  <c r="N243" i="9"/>
  <c r="P243" i="9"/>
  <c r="L244" i="9"/>
  <c r="L245" i="9"/>
  <c r="L246" i="9"/>
  <c r="L247" i="9"/>
  <c r="I249" i="9"/>
  <c r="K249" i="9" s="1"/>
  <c r="K251" i="9"/>
  <c r="K252" i="9"/>
  <c r="J253" i="9"/>
  <c r="N254" i="9"/>
  <c r="P254" i="9"/>
  <c r="L255" i="9"/>
  <c r="L256" i="9"/>
  <c r="L257" i="9"/>
  <c r="L258" i="9"/>
  <c r="I260" i="9"/>
  <c r="K260" i="9" s="1"/>
  <c r="K262" i="9"/>
  <c r="K263" i="9"/>
  <c r="I265" i="9"/>
  <c r="J265" i="9"/>
  <c r="K265" i="9"/>
  <c r="L267" i="9"/>
  <c r="O267" i="9" s="1"/>
  <c r="M267" i="9"/>
  <c r="N267" i="9"/>
  <c r="O270" i="9"/>
  <c r="P270" i="9"/>
  <c r="L271" i="9"/>
  <c r="M271" i="9"/>
  <c r="P271" i="9" s="1"/>
  <c r="N271" i="9"/>
  <c r="N269" i="9" s="1"/>
  <c r="O273" i="9"/>
  <c r="P273" i="9"/>
  <c r="L274" i="9"/>
  <c r="M274" i="9"/>
  <c r="P274" i="9" s="1"/>
  <c r="N274" i="9"/>
  <c r="J281" i="9"/>
  <c r="L283" i="9"/>
  <c r="M283" i="9"/>
  <c r="N283" i="9"/>
  <c r="O286" i="9"/>
  <c r="P286" i="9"/>
  <c r="L287" i="9"/>
  <c r="L285" i="9" s="1"/>
  <c r="O285" i="9" s="1"/>
  <c r="M287" i="9"/>
  <c r="M285" i="9" s="1"/>
  <c r="P285" i="9" s="1"/>
  <c r="N287" i="9"/>
  <c r="N285" i="9" s="1"/>
  <c r="O289" i="9"/>
  <c r="P289" i="9"/>
  <c r="L290" i="9"/>
  <c r="O290" i="9" s="1"/>
  <c r="M290" i="9"/>
  <c r="M288" i="9" s="1"/>
  <c r="P288" i="9" s="1"/>
  <c r="N290" i="9"/>
  <c r="N288" i="9" s="1"/>
  <c r="I292" i="9"/>
  <c r="K292" i="9" s="1"/>
  <c r="I293" i="9"/>
  <c r="I280" i="9" s="1"/>
  <c r="K280" i="9" s="1"/>
  <c r="J293" i="9"/>
  <c r="J280" i="9" s="1"/>
  <c r="I295" i="9"/>
  <c r="K295" i="9" s="1"/>
  <c r="I296" i="9"/>
  <c r="K296" i="9" s="1"/>
  <c r="J302" i="9"/>
  <c r="L304" i="9"/>
  <c r="O304" i="9" s="1"/>
  <c r="M304" i="9"/>
  <c r="N304" i="9"/>
  <c r="P304" i="9"/>
  <c r="O307" i="9"/>
  <c r="P307" i="9"/>
  <c r="L308" i="9"/>
  <c r="O308" i="9" s="1"/>
  <c r="M308" i="9"/>
  <c r="P308" i="9" s="1"/>
  <c r="N308" i="9"/>
  <c r="O310" i="9"/>
  <c r="P310" i="9"/>
  <c r="L311" i="9"/>
  <c r="O311" i="9" s="1"/>
  <c r="M311" i="9"/>
  <c r="P311" i="9" s="1"/>
  <c r="N311" i="9"/>
  <c r="N309" i="9" s="1"/>
  <c r="I314" i="9"/>
  <c r="K314" i="9" s="1"/>
  <c r="I315" i="9"/>
  <c r="K315" i="9" s="1"/>
  <c r="I316" i="9"/>
  <c r="K316" i="9" s="1"/>
  <c r="I317" i="9"/>
  <c r="K317" i="9" s="1"/>
  <c r="J319" i="9"/>
  <c r="L321" i="9"/>
  <c r="O321" i="9" s="1"/>
  <c r="M321" i="9"/>
  <c r="N321" i="9"/>
  <c r="P321" i="9"/>
  <c r="O324" i="9"/>
  <c r="P324" i="9"/>
  <c r="L325" i="9"/>
  <c r="L323" i="9" s="1"/>
  <c r="O323" i="9" s="1"/>
  <c r="M325" i="9"/>
  <c r="M323" i="9" s="1"/>
  <c r="P323" i="9" s="1"/>
  <c r="N325" i="9"/>
  <c r="N323" i="9" s="1"/>
  <c r="O327" i="9"/>
  <c r="P327" i="9"/>
  <c r="L328" i="9"/>
  <c r="O328" i="9" s="1"/>
  <c r="M328" i="9"/>
  <c r="M326" i="9" s="1"/>
  <c r="P326" i="9" s="1"/>
  <c r="N328" i="9"/>
  <c r="N326" i="9" s="1"/>
  <c r="I330" i="9"/>
  <c r="K330" i="9" s="1"/>
  <c r="L334" i="9"/>
  <c r="O334" i="9" s="1"/>
  <c r="M334" i="9"/>
  <c r="P334" i="9" s="1"/>
  <c r="N334" i="9"/>
  <c r="O337" i="9"/>
  <c r="P337" i="9"/>
  <c r="L338" i="9"/>
  <c r="M338" i="9"/>
  <c r="N338" i="9"/>
  <c r="N336" i="9" s="1"/>
  <c r="O340" i="9"/>
  <c r="P340" i="9"/>
  <c r="L341" i="9"/>
  <c r="O341" i="9" s="1"/>
  <c r="M341" i="9"/>
  <c r="P341" i="9" s="1"/>
  <c r="N341" i="9"/>
  <c r="N339" i="9" s="1"/>
  <c r="I344" i="9"/>
  <c r="I332" i="9" s="1"/>
  <c r="J344" i="9"/>
  <c r="I346" i="9"/>
  <c r="J346" i="9"/>
  <c r="J347" i="9"/>
  <c r="J348" i="9"/>
  <c r="J349" i="9"/>
  <c r="D350" i="9"/>
  <c r="J352" i="9"/>
  <c r="J353" i="9"/>
  <c r="D354" i="9"/>
  <c r="L357" i="9"/>
  <c r="M357" i="9"/>
  <c r="N357" i="9"/>
  <c r="P357" i="9"/>
  <c r="O360" i="9"/>
  <c r="P360" i="9"/>
  <c r="L361" i="9"/>
  <c r="M361" i="9"/>
  <c r="N361" i="9"/>
  <c r="N359" i="9" s="1"/>
  <c r="O363" i="9"/>
  <c r="P363" i="9"/>
  <c r="L364" i="9"/>
  <c r="O364" i="9" s="1"/>
  <c r="M364" i="9"/>
  <c r="P364" i="9" s="1"/>
  <c r="N364" i="9"/>
  <c r="N362" i="9" s="1"/>
  <c r="J367" i="9"/>
  <c r="K367" i="9"/>
  <c r="I368" i="9"/>
  <c r="J368" i="9"/>
  <c r="I369" i="9"/>
  <c r="J369" i="9"/>
  <c r="J370" i="9"/>
  <c r="K370" i="9"/>
  <c r="I371" i="9"/>
  <c r="J371" i="9"/>
  <c r="J365" i="9" s="1"/>
  <c r="J372" i="9"/>
  <c r="K372" i="9"/>
  <c r="D373" i="9"/>
  <c r="I376" i="9"/>
  <c r="K376" i="9" s="1"/>
  <c r="J376" i="9"/>
  <c r="L378" i="9"/>
  <c r="M378" i="9"/>
  <c r="N378" i="9"/>
  <c r="O378" i="9"/>
  <c r="O381" i="9"/>
  <c r="P381" i="9"/>
  <c r="L382" i="9"/>
  <c r="M382" i="9"/>
  <c r="N382" i="9"/>
  <c r="N380" i="9" s="1"/>
  <c r="O384" i="9"/>
  <c r="P384" i="9"/>
  <c r="L385" i="9"/>
  <c r="O385" i="9" s="1"/>
  <c r="M385" i="9"/>
  <c r="M383" i="9" s="1"/>
  <c r="P383" i="9" s="1"/>
  <c r="N385" i="9"/>
  <c r="N383" i="9" s="1"/>
  <c r="K387" i="9"/>
  <c r="K388" i="9"/>
  <c r="A391" i="9"/>
  <c r="L22" i="8"/>
  <c r="O22" i="8" s="1"/>
  <c r="M22" i="8"/>
  <c r="N22" i="8"/>
  <c r="L25" i="8"/>
  <c r="M25" i="8"/>
  <c r="P25" i="8" s="1"/>
  <c r="N25" i="8"/>
  <c r="L45" i="8"/>
  <c r="O45" i="8" s="1"/>
  <c r="M45" i="8"/>
  <c r="P45" i="8" s="1"/>
  <c r="N45" i="8"/>
  <c r="O48" i="8"/>
  <c r="P48" i="8"/>
  <c r="L49" i="8"/>
  <c r="L47" i="8" s="1"/>
  <c r="M49" i="8"/>
  <c r="M47" i="8" s="1"/>
  <c r="N49" i="8"/>
  <c r="O51" i="8"/>
  <c r="P51" i="8"/>
  <c r="L52" i="8"/>
  <c r="M52" i="8"/>
  <c r="M50" i="8" s="1"/>
  <c r="P50" i="8" s="1"/>
  <c r="N52" i="8"/>
  <c r="N50" i="8" s="1"/>
  <c r="L60" i="8"/>
  <c r="M60" i="8"/>
  <c r="N60" i="8"/>
  <c r="O63" i="8"/>
  <c r="P63" i="8"/>
  <c r="L64" i="8"/>
  <c r="M64" i="8"/>
  <c r="N64" i="8"/>
  <c r="O66" i="8"/>
  <c r="P66" i="8"/>
  <c r="L67" i="8"/>
  <c r="M67" i="8"/>
  <c r="M65" i="8" s="1"/>
  <c r="P65" i="8" s="1"/>
  <c r="N67" i="8"/>
  <c r="N65" i="8" s="1"/>
  <c r="L73" i="8"/>
  <c r="M73" i="8"/>
  <c r="P73" i="8" s="1"/>
  <c r="N73" i="8"/>
  <c r="O73" i="8"/>
  <c r="O76" i="8"/>
  <c r="P76" i="8"/>
  <c r="L77" i="8"/>
  <c r="M77" i="8"/>
  <c r="M75" i="8" s="1"/>
  <c r="N77" i="8"/>
  <c r="N75" i="8" s="1"/>
  <c r="O79" i="8"/>
  <c r="P79" i="8"/>
  <c r="L80" i="8"/>
  <c r="M80" i="8"/>
  <c r="M78" i="8" s="1"/>
  <c r="P78" i="8" s="1"/>
  <c r="N80" i="8"/>
  <c r="N78" i="8" s="1"/>
  <c r="J82" i="8"/>
  <c r="J70" i="8" s="1"/>
  <c r="J83" i="8"/>
  <c r="J71" i="8" s="1"/>
  <c r="I84" i="8"/>
  <c r="I85" i="8"/>
  <c r="I86" i="8"/>
  <c r="K86" i="8" s="1"/>
  <c r="I87" i="8"/>
  <c r="K87" i="8" s="1"/>
  <c r="I88" i="8"/>
  <c r="K88" i="8" s="1"/>
  <c r="I89" i="8"/>
  <c r="K89" i="8" s="1"/>
  <c r="I90" i="8"/>
  <c r="K90" i="8" s="1"/>
  <c r="J92" i="8"/>
  <c r="J93" i="8"/>
  <c r="L95" i="8"/>
  <c r="O95" i="8" s="1"/>
  <c r="M95" i="8"/>
  <c r="P95" i="8" s="1"/>
  <c r="N95" i="8"/>
  <c r="O98" i="8"/>
  <c r="P98" i="8"/>
  <c r="L99" i="8"/>
  <c r="M99" i="8"/>
  <c r="M97" i="8" s="1"/>
  <c r="P97" i="8" s="1"/>
  <c r="N99" i="8"/>
  <c r="N97" i="8" s="1"/>
  <c r="O101" i="8"/>
  <c r="P101" i="8"/>
  <c r="L102" i="8"/>
  <c r="O102" i="8" s="1"/>
  <c r="M102" i="8"/>
  <c r="M100" i="8" s="1"/>
  <c r="P100" i="8" s="1"/>
  <c r="N102" i="8"/>
  <c r="N100" i="8" s="1"/>
  <c r="I108" i="8"/>
  <c r="I109" i="8"/>
  <c r="I93" i="8" s="1"/>
  <c r="K93" i="8" s="1"/>
  <c r="I117" i="8"/>
  <c r="K117" i="8" s="1"/>
  <c r="L126" i="8"/>
  <c r="O126" i="8" s="1"/>
  <c r="M126" i="8"/>
  <c r="N126" i="8"/>
  <c r="O129" i="8"/>
  <c r="P129" i="8"/>
  <c r="L130" i="8"/>
  <c r="M130" i="8"/>
  <c r="N130" i="8"/>
  <c r="N128" i="8" s="1"/>
  <c r="O132" i="8"/>
  <c r="P132" i="8"/>
  <c r="L133" i="8"/>
  <c r="O133" i="8" s="1"/>
  <c r="M133" i="8"/>
  <c r="N133" i="8"/>
  <c r="N131" i="8" s="1"/>
  <c r="J136" i="8"/>
  <c r="J137" i="8"/>
  <c r="J138" i="8"/>
  <c r="L140" i="8"/>
  <c r="O140" i="8" s="1"/>
  <c r="M140" i="8"/>
  <c r="N140" i="8"/>
  <c r="O143" i="8"/>
  <c r="P143" i="8"/>
  <c r="L144" i="8"/>
  <c r="L142" i="8" s="1"/>
  <c r="M144" i="8"/>
  <c r="N144" i="8"/>
  <c r="O146" i="8"/>
  <c r="P146" i="8"/>
  <c r="L147" i="8"/>
  <c r="L145" i="8" s="1"/>
  <c r="O145" i="8" s="1"/>
  <c r="M147" i="8"/>
  <c r="N147" i="8"/>
  <c r="N145" i="8" s="1"/>
  <c r="I150" i="8"/>
  <c r="K150" i="8" s="1"/>
  <c r="I151" i="8"/>
  <c r="K151" i="8" s="1"/>
  <c r="I152" i="8"/>
  <c r="K152" i="8" s="1"/>
  <c r="I153" i="8"/>
  <c r="I138" i="8" s="1"/>
  <c r="K138" i="8" s="1"/>
  <c r="I154" i="8"/>
  <c r="I136" i="8" s="1"/>
  <c r="K136" i="8" s="1"/>
  <c r="J156" i="8"/>
  <c r="L158" i="8"/>
  <c r="O158" i="8" s="1"/>
  <c r="M158" i="8"/>
  <c r="P158" i="8" s="1"/>
  <c r="N158" i="8"/>
  <c r="O161" i="8"/>
  <c r="P161" i="8"/>
  <c r="L162" i="8"/>
  <c r="L160" i="8" s="1"/>
  <c r="O160" i="8" s="1"/>
  <c r="M162" i="8"/>
  <c r="M160" i="8" s="1"/>
  <c r="P160" i="8" s="1"/>
  <c r="N162" i="8"/>
  <c r="N160" i="8" s="1"/>
  <c r="O164" i="8"/>
  <c r="P164" i="8"/>
  <c r="L165" i="8"/>
  <c r="L163" i="8" s="1"/>
  <c r="O163" i="8" s="1"/>
  <c r="M165" i="8"/>
  <c r="M163" i="8" s="1"/>
  <c r="P163" i="8" s="1"/>
  <c r="N165" i="8"/>
  <c r="N163" i="8" s="1"/>
  <c r="I167" i="8"/>
  <c r="K167" i="8" s="1"/>
  <c r="I168" i="8"/>
  <c r="K168" i="8" s="1"/>
  <c r="I169" i="8"/>
  <c r="I156" i="8" s="1"/>
  <c r="K156" i="8" s="1"/>
  <c r="J172" i="8"/>
  <c r="L174" i="8"/>
  <c r="M174" i="8"/>
  <c r="P174" i="8" s="1"/>
  <c r="N174" i="8"/>
  <c r="O174" i="8"/>
  <c r="O177" i="8"/>
  <c r="P177" i="8"/>
  <c r="L178" i="8"/>
  <c r="L176" i="8" s="1"/>
  <c r="O176" i="8" s="1"/>
  <c r="M178" i="8"/>
  <c r="M176" i="8" s="1"/>
  <c r="P176" i="8" s="1"/>
  <c r="N178" i="8"/>
  <c r="N176" i="8" s="1"/>
  <c r="O180" i="8"/>
  <c r="P180" i="8"/>
  <c r="L181" i="8"/>
  <c r="L179" i="8" s="1"/>
  <c r="O179" i="8" s="1"/>
  <c r="M181" i="8"/>
  <c r="M179" i="8" s="1"/>
  <c r="P179" i="8" s="1"/>
  <c r="N181" i="8"/>
  <c r="N179" i="8" s="1"/>
  <c r="I183" i="8"/>
  <c r="I172" i="8" s="1"/>
  <c r="K172" i="8" s="1"/>
  <c r="K184" i="8"/>
  <c r="L187" i="8"/>
  <c r="M187" i="8"/>
  <c r="N187" i="8"/>
  <c r="O190" i="8"/>
  <c r="P190" i="8"/>
  <c r="L191" i="8"/>
  <c r="M191" i="8"/>
  <c r="N191" i="8"/>
  <c r="N189" i="8" s="1"/>
  <c r="O193" i="8"/>
  <c r="P193" i="8"/>
  <c r="L194" i="8"/>
  <c r="M194" i="8"/>
  <c r="P194" i="8" s="1"/>
  <c r="N194" i="8"/>
  <c r="N192" i="8" s="1"/>
  <c r="J195" i="8"/>
  <c r="L196" i="8"/>
  <c r="O196" i="8" s="1"/>
  <c r="P196" i="8"/>
  <c r="I198" i="8"/>
  <c r="I195" i="8" s="1"/>
  <c r="K195" i="8" s="1"/>
  <c r="J199" i="8"/>
  <c r="J202" i="8"/>
  <c r="N203" i="8"/>
  <c r="P203" i="8"/>
  <c r="L204" i="8"/>
  <c r="L205" i="8"/>
  <c r="L206" i="8"/>
  <c r="L207" i="8"/>
  <c r="I209" i="8"/>
  <c r="I211" i="8"/>
  <c r="K211" i="8" s="1"/>
  <c r="I212" i="8"/>
  <c r="K212" i="8" s="1"/>
  <c r="J213" i="8"/>
  <c r="N214" i="8"/>
  <c r="P214" i="8"/>
  <c r="L215" i="8"/>
  <c r="L216" i="8"/>
  <c r="L217" i="8"/>
  <c r="I219" i="8"/>
  <c r="K219" i="8" s="1"/>
  <c r="I220" i="8"/>
  <c r="K220" i="8" s="1"/>
  <c r="J221" i="8"/>
  <c r="N222" i="8"/>
  <c r="P222" i="8"/>
  <c r="L223" i="8"/>
  <c r="L224" i="8"/>
  <c r="L225" i="8"/>
  <c r="I228" i="8"/>
  <c r="K228" i="8" s="1"/>
  <c r="I229" i="8"/>
  <c r="I221" i="8" s="1"/>
  <c r="I230" i="8"/>
  <c r="K230" i="8" s="1"/>
  <c r="N233" i="8"/>
  <c r="N234" i="8"/>
  <c r="N235" i="8"/>
  <c r="N236" i="8"/>
  <c r="J238" i="8"/>
  <c r="I240" i="8"/>
  <c r="K240" i="8" s="1"/>
  <c r="J240" i="8"/>
  <c r="I241" i="8"/>
  <c r="J241" i="8"/>
  <c r="K241" i="8"/>
  <c r="J242" i="8"/>
  <c r="N243" i="8"/>
  <c r="P243" i="8"/>
  <c r="L244" i="8"/>
  <c r="L245" i="8"/>
  <c r="L246" i="8"/>
  <c r="L247" i="8"/>
  <c r="I249" i="8"/>
  <c r="K251" i="8"/>
  <c r="K252" i="8"/>
  <c r="J253" i="8"/>
  <c r="N254" i="8"/>
  <c r="P254" i="8"/>
  <c r="L255" i="8"/>
  <c r="L256" i="8"/>
  <c r="L257" i="8"/>
  <c r="L258" i="8"/>
  <c r="I260" i="8"/>
  <c r="K262" i="8"/>
  <c r="K263" i="8"/>
  <c r="I265" i="8"/>
  <c r="J265" i="8"/>
  <c r="K265" i="8"/>
  <c r="L267" i="8"/>
  <c r="M267" i="8"/>
  <c r="N267" i="8"/>
  <c r="O270" i="8"/>
  <c r="P270" i="8"/>
  <c r="L271" i="8"/>
  <c r="M271" i="8"/>
  <c r="P271" i="8" s="1"/>
  <c r="N271" i="8"/>
  <c r="N269" i="8" s="1"/>
  <c r="O273" i="8"/>
  <c r="P273" i="8"/>
  <c r="L274" i="8"/>
  <c r="M274" i="8"/>
  <c r="M272" i="8" s="1"/>
  <c r="P272" i="8" s="1"/>
  <c r="N274" i="8"/>
  <c r="N272" i="8" s="1"/>
  <c r="J280" i="8"/>
  <c r="J281" i="8"/>
  <c r="L283" i="8"/>
  <c r="O283" i="8" s="1"/>
  <c r="M283" i="8"/>
  <c r="N283" i="8"/>
  <c r="P283" i="8"/>
  <c r="O286" i="8"/>
  <c r="P286" i="8"/>
  <c r="L287" i="8"/>
  <c r="M287" i="8"/>
  <c r="M285" i="8" s="1"/>
  <c r="P285" i="8" s="1"/>
  <c r="N287" i="8"/>
  <c r="O289" i="8"/>
  <c r="P289" i="8"/>
  <c r="L290" i="8"/>
  <c r="M290" i="8"/>
  <c r="N290" i="8"/>
  <c r="N288" i="8" s="1"/>
  <c r="I292" i="8"/>
  <c r="I293" i="8"/>
  <c r="I280" i="8" s="1"/>
  <c r="K280" i="8" s="1"/>
  <c r="J293" i="8"/>
  <c r="I295" i="8"/>
  <c r="K295" i="8" s="1"/>
  <c r="I296" i="8"/>
  <c r="K296" i="8" s="1"/>
  <c r="J302" i="8"/>
  <c r="L304" i="8"/>
  <c r="M304" i="8"/>
  <c r="N304" i="8"/>
  <c r="O307" i="8"/>
  <c r="P307" i="8"/>
  <c r="L308" i="8"/>
  <c r="M308" i="8"/>
  <c r="M306" i="8" s="1"/>
  <c r="N308" i="8"/>
  <c r="N306" i="8" s="1"/>
  <c r="O310" i="8"/>
  <c r="P310" i="8"/>
  <c r="L311" i="8"/>
  <c r="M311" i="8"/>
  <c r="N311" i="8"/>
  <c r="I314" i="8"/>
  <c r="I302" i="8" s="1"/>
  <c r="I315" i="8"/>
  <c r="K315" i="8" s="1"/>
  <c r="I316" i="8"/>
  <c r="K316" i="8" s="1"/>
  <c r="I317" i="8"/>
  <c r="K317" i="8" s="1"/>
  <c r="J319" i="8"/>
  <c r="L321" i="8"/>
  <c r="M321" i="8"/>
  <c r="P321" i="8" s="1"/>
  <c r="N321" i="8"/>
  <c r="O321" i="8"/>
  <c r="O324" i="8"/>
  <c r="P324" i="8"/>
  <c r="L325" i="8"/>
  <c r="O325" i="8" s="1"/>
  <c r="M325" i="8"/>
  <c r="N325" i="8"/>
  <c r="N323" i="8" s="1"/>
  <c r="O327" i="8"/>
  <c r="P327" i="8"/>
  <c r="L328" i="8"/>
  <c r="O328" i="8" s="1"/>
  <c r="M328" i="8"/>
  <c r="M326" i="8" s="1"/>
  <c r="P326" i="8" s="1"/>
  <c r="N328" i="8"/>
  <c r="N326" i="8" s="1"/>
  <c r="I330" i="8"/>
  <c r="I319" i="8" s="1"/>
  <c r="K319" i="8" s="1"/>
  <c r="L334" i="8"/>
  <c r="M334" i="8"/>
  <c r="P334" i="8" s="1"/>
  <c r="N334" i="8"/>
  <c r="O334" i="8"/>
  <c r="O337" i="8"/>
  <c r="P337" i="8"/>
  <c r="L338" i="8"/>
  <c r="M338" i="8"/>
  <c r="M336" i="8" s="1"/>
  <c r="N338" i="8"/>
  <c r="N336" i="8" s="1"/>
  <c r="O340" i="8"/>
  <c r="P340" i="8"/>
  <c r="L341" i="8"/>
  <c r="L339" i="8" s="1"/>
  <c r="O339" i="8" s="1"/>
  <c r="M341" i="8"/>
  <c r="P341" i="8" s="1"/>
  <c r="N341" i="8"/>
  <c r="N339" i="8" s="1"/>
  <c r="I344" i="8"/>
  <c r="I332" i="8" s="1"/>
  <c r="J344" i="8"/>
  <c r="I346" i="8"/>
  <c r="J346" i="8"/>
  <c r="J347" i="8"/>
  <c r="J348" i="8"/>
  <c r="J349" i="8"/>
  <c r="D350" i="8"/>
  <c r="J352" i="8"/>
  <c r="J353" i="8"/>
  <c r="D354" i="8"/>
  <c r="L357" i="8"/>
  <c r="M357" i="8"/>
  <c r="P357" i="8" s="1"/>
  <c r="N357" i="8"/>
  <c r="O360" i="8"/>
  <c r="P360" i="8"/>
  <c r="L361" i="8"/>
  <c r="L359" i="8" s="1"/>
  <c r="M361" i="8"/>
  <c r="N361" i="8"/>
  <c r="O363" i="8"/>
  <c r="P363" i="8"/>
  <c r="L364" i="8"/>
  <c r="L362" i="8" s="1"/>
  <c r="O362" i="8" s="1"/>
  <c r="M364" i="8"/>
  <c r="P364" i="8" s="1"/>
  <c r="N364" i="8"/>
  <c r="N362" i="8" s="1"/>
  <c r="J367" i="8"/>
  <c r="K367" i="8"/>
  <c r="I368" i="8"/>
  <c r="J368" i="8"/>
  <c r="I369" i="8"/>
  <c r="J369" i="8"/>
  <c r="J370" i="8"/>
  <c r="K370" i="8"/>
  <c r="I371" i="8"/>
  <c r="J371" i="8"/>
  <c r="J365" i="8" s="1"/>
  <c r="J372" i="8"/>
  <c r="K372" i="8"/>
  <c r="D373" i="8"/>
  <c r="I376" i="8"/>
  <c r="K376" i="8" s="1"/>
  <c r="J376" i="8"/>
  <c r="L378" i="8"/>
  <c r="O378" i="8" s="1"/>
  <c r="M378" i="8"/>
  <c r="P378" i="8" s="1"/>
  <c r="N378" i="8"/>
  <c r="O381" i="8"/>
  <c r="P381" i="8"/>
  <c r="L382" i="8"/>
  <c r="O382" i="8" s="1"/>
  <c r="M382" i="8"/>
  <c r="M380" i="8" s="1"/>
  <c r="P380" i="8" s="1"/>
  <c r="N382" i="8"/>
  <c r="N380" i="8" s="1"/>
  <c r="O384" i="8"/>
  <c r="P384" i="8"/>
  <c r="L385" i="8"/>
  <c r="O385" i="8" s="1"/>
  <c r="M385" i="8"/>
  <c r="P385" i="8" s="1"/>
  <c r="N385" i="8"/>
  <c r="N383" i="8" s="1"/>
  <c r="K387" i="8"/>
  <c r="K388" i="8"/>
  <c r="A391" i="8"/>
  <c r="L22" i="7"/>
  <c r="O22" i="7" s="1"/>
  <c r="M22" i="7"/>
  <c r="N22" i="7"/>
  <c r="L25" i="7"/>
  <c r="L19" i="7" s="1"/>
  <c r="O19" i="7" s="1"/>
  <c r="M25" i="7"/>
  <c r="N25" i="7"/>
  <c r="L45" i="7"/>
  <c r="M45" i="7"/>
  <c r="P45" i="7" s="1"/>
  <c r="N45" i="7"/>
  <c r="O45" i="7"/>
  <c r="O48" i="7"/>
  <c r="P48" i="7"/>
  <c r="L49" i="7"/>
  <c r="M49" i="7"/>
  <c r="M47" i="7" s="1"/>
  <c r="N49" i="7"/>
  <c r="N47" i="7" s="1"/>
  <c r="O51" i="7"/>
  <c r="P51" i="7"/>
  <c r="L52" i="7"/>
  <c r="L50" i="7" s="1"/>
  <c r="O50" i="7" s="1"/>
  <c r="M52" i="7"/>
  <c r="M50" i="7" s="1"/>
  <c r="P50" i="7" s="1"/>
  <c r="N52" i="7"/>
  <c r="N50" i="7" s="1"/>
  <c r="L60" i="7"/>
  <c r="M60" i="7"/>
  <c r="P60" i="7" s="1"/>
  <c r="N60" i="7"/>
  <c r="O63" i="7"/>
  <c r="P63" i="7"/>
  <c r="L64" i="7"/>
  <c r="L62" i="7" s="1"/>
  <c r="M64" i="7"/>
  <c r="N64" i="7"/>
  <c r="O66" i="7"/>
  <c r="P66" i="7"/>
  <c r="L67" i="7"/>
  <c r="L65" i="7" s="1"/>
  <c r="O65" i="7" s="1"/>
  <c r="M67" i="7"/>
  <c r="P67" i="7" s="1"/>
  <c r="N67" i="7"/>
  <c r="N65" i="7" s="1"/>
  <c r="L73" i="7"/>
  <c r="M73" i="7"/>
  <c r="P73" i="7" s="1"/>
  <c r="N73" i="7"/>
  <c r="O73" i="7"/>
  <c r="O76" i="7"/>
  <c r="P76" i="7"/>
  <c r="L77" i="7"/>
  <c r="L75" i="7" s="1"/>
  <c r="O75" i="7" s="1"/>
  <c r="M77" i="7"/>
  <c r="M75" i="7" s="1"/>
  <c r="P75" i="7" s="1"/>
  <c r="N77" i="7"/>
  <c r="N75" i="7" s="1"/>
  <c r="O79" i="7"/>
  <c r="P79" i="7"/>
  <c r="L80" i="7"/>
  <c r="L78" i="7" s="1"/>
  <c r="O78" i="7" s="1"/>
  <c r="M80" i="7"/>
  <c r="M78" i="7" s="1"/>
  <c r="P78" i="7" s="1"/>
  <c r="N80" i="7"/>
  <c r="N78" i="7" s="1"/>
  <c r="J82" i="7"/>
  <c r="J70" i="7" s="1"/>
  <c r="J83" i="7"/>
  <c r="J71" i="7" s="1"/>
  <c r="I84" i="7"/>
  <c r="K84" i="7" s="1"/>
  <c r="I85" i="7"/>
  <c r="I86" i="7"/>
  <c r="K86" i="7" s="1"/>
  <c r="I87" i="7"/>
  <c r="K87" i="7" s="1"/>
  <c r="I88" i="7"/>
  <c r="K88" i="7" s="1"/>
  <c r="I89" i="7"/>
  <c r="K89" i="7" s="1"/>
  <c r="I90" i="7"/>
  <c r="K90" i="7" s="1"/>
  <c r="J92" i="7"/>
  <c r="J93" i="7"/>
  <c r="L95" i="7"/>
  <c r="M95" i="7"/>
  <c r="P95" i="7" s="1"/>
  <c r="N95" i="7"/>
  <c r="O98" i="7"/>
  <c r="P98" i="7"/>
  <c r="L99" i="7"/>
  <c r="M99" i="7"/>
  <c r="M97" i="7" s="1"/>
  <c r="P97" i="7" s="1"/>
  <c r="N99" i="7"/>
  <c r="O101" i="7"/>
  <c r="P101" i="7"/>
  <c r="L102" i="7"/>
  <c r="O102" i="7" s="1"/>
  <c r="M102" i="7"/>
  <c r="M100" i="7" s="1"/>
  <c r="P100" i="7" s="1"/>
  <c r="N102" i="7"/>
  <c r="N100" i="7" s="1"/>
  <c r="I108" i="7"/>
  <c r="I109" i="7"/>
  <c r="K109" i="7" s="1"/>
  <c r="I117" i="7"/>
  <c r="K117" i="7" s="1"/>
  <c r="L126" i="7"/>
  <c r="M126" i="7"/>
  <c r="N126" i="7"/>
  <c r="O126" i="7"/>
  <c r="O129" i="7"/>
  <c r="P129" i="7"/>
  <c r="L130" i="7"/>
  <c r="M130" i="7"/>
  <c r="M128" i="7" s="1"/>
  <c r="P128" i="7" s="1"/>
  <c r="N130" i="7"/>
  <c r="N128" i="7" s="1"/>
  <c r="O132" i="7"/>
  <c r="P132" i="7"/>
  <c r="L133" i="7"/>
  <c r="L131" i="7" s="1"/>
  <c r="O131" i="7" s="1"/>
  <c r="M133" i="7"/>
  <c r="M131" i="7" s="1"/>
  <c r="P131" i="7" s="1"/>
  <c r="N133" i="7"/>
  <c r="J136" i="7"/>
  <c r="J137" i="7"/>
  <c r="J138" i="7"/>
  <c r="L140" i="7"/>
  <c r="M140" i="7"/>
  <c r="P140" i="7" s="1"/>
  <c r="N140" i="7"/>
  <c r="O140" i="7"/>
  <c r="O143" i="7"/>
  <c r="P143" i="7"/>
  <c r="L144" i="7"/>
  <c r="L142" i="7" s="1"/>
  <c r="O142" i="7" s="1"/>
  <c r="M144" i="7"/>
  <c r="M142" i="7" s="1"/>
  <c r="P142" i="7" s="1"/>
  <c r="N144" i="7"/>
  <c r="O146" i="7"/>
  <c r="P146" i="7"/>
  <c r="L147" i="7"/>
  <c r="O147" i="7" s="1"/>
  <c r="M147" i="7"/>
  <c r="M145" i="7" s="1"/>
  <c r="P145" i="7" s="1"/>
  <c r="N147" i="7"/>
  <c r="N145" i="7" s="1"/>
  <c r="I150" i="7"/>
  <c r="K150" i="7" s="1"/>
  <c r="I151" i="7"/>
  <c r="K151" i="7" s="1"/>
  <c r="I152" i="7"/>
  <c r="K152" i="7" s="1"/>
  <c r="I153" i="7"/>
  <c r="K153" i="7" s="1"/>
  <c r="I154" i="7"/>
  <c r="I136" i="7" s="1"/>
  <c r="K136" i="7" s="1"/>
  <c r="J156" i="7"/>
  <c r="L158" i="7"/>
  <c r="O158" i="7" s="1"/>
  <c r="M158" i="7"/>
  <c r="N158" i="7"/>
  <c r="P158" i="7"/>
  <c r="O161" i="7"/>
  <c r="P161" i="7"/>
  <c r="L162" i="7"/>
  <c r="L160" i="7" s="1"/>
  <c r="O160" i="7" s="1"/>
  <c r="M162" i="7"/>
  <c r="M160" i="7" s="1"/>
  <c r="P160" i="7" s="1"/>
  <c r="N162" i="7"/>
  <c r="N160" i="7" s="1"/>
  <c r="O164" i="7"/>
  <c r="P164" i="7"/>
  <c r="L165" i="7"/>
  <c r="L163" i="7" s="1"/>
  <c r="O163" i="7" s="1"/>
  <c r="M165" i="7"/>
  <c r="M163" i="7" s="1"/>
  <c r="P163" i="7" s="1"/>
  <c r="N165" i="7"/>
  <c r="N163" i="7" s="1"/>
  <c r="I167" i="7"/>
  <c r="K167" i="7" s="1"/>
  <c r="I168" i="7"/>
  <c r="K168" i="7" s="1"/>
  <c r="I169" i="7"/>
  <c r="I156" i="7" s="1"/>
  <c r="K156" i="7" s="1"/>
  <c r="J172" i="7"/>
  <c r="L174" i="7"/>
  <c r="M174" i="7"/>
  <c r="N174" i="7"/>
  <c r="P174" i="7"/>
  <c r="O177" i="7"/>
  <c r="P177" i="7"/>
  <c r="L178" i="7"/>
  <c r="L176" i="7" s="1"/>
  <c r="M178" i="7"/>
  <c r="M176" i="7" s="1"/>
  <c r="N178" i="7"/>
  <c r="N176" i="7" s="1"/>
  <c r="O180" i="7"/>
  <c r="P180" i="7"/>
  <c r="L181" i="7"/>
  <c r="M181" i="7"/>
  <c r="M179" i="7" s="1"/>
  <c r="P179" i="7" s="1"/>
  <c r="N181" i="7"/>
  <c r="N179" i="7" s="1"/>
  <c r="I183" i="7"/>
  <c r="I172" i="7" s="1"/>
  <c r="K184" i="7"/>
  <c r="L187" i="7"/>
  <c r="M187" i="7"/>
  <c r="P187" i="7" s="1"/>
  <c r="N187" i="7"/>
  <c r="O190" i="7"/>
  <c r="P190" i="7"/>
  <c r="L191" i="7"/>
  <c r="L189" i="7" s="1"/>
  <c r="M191" i="7"/>
  <c r="N191" i="7"/>
  <c r="N189" i="7" s="1"/>
  <c r="O193" i="7"/>
  <c r="P193" i="7"/>
  <c r="L194" i="7"/>
  <c r="L192" i="7" s="1"/>
  <c r="O192" i="7" s="1"/>
  <c r="M194" i="7"/>
  <c r="M192" i="7" s="1"/>
  <c r="P192" i="7" s="1"/>
  <c r="N194" i="7"/>
  <c r="J195" i="7"/>
  <c r="L196" i="7"/>
  <c r="O196" i="7" s="1"/>
  <c r="P196" i="7"/>
  <c r="I198" i="7"/>
  <c r="I195" i="7" s="1"/>
  <c r="J199" i="7"/>
  <c r="J202" i="7"/>
  <c r="N203" i="7"/>
  <c r="P203" i="7"/>
  <c r="L204" i="7"/>
  <c r="L205" i="7"/>
  <c r="L206" i="7"/>
  <c r="L207" i="7"/>
  <c r="I209" i="7"/>
  <c r="K209" i="7" s="1"/>
  <c r="I211" i="7"/>
  <c r="K211" i="7" s="1"/>
  <c r="I212" i="7"/>
  <c r="K212" i="7" s="1"/>
  <c r="J213" i="7"/>
  <c r="N214" i="7"/>
  <c r="P214" i="7"/>
  <c r="L215" i="7"/>
  <c r="L216" i="7"/>
  <c r="L217" i="7"/>
  <c r="I219" i="7"/>
  <c r="K219" i="7" s="1"/>
  <c r="I220" i="7"/>
  <c r="I213" i="7" s="1"/>
  <c r="K213" i="7" s="1"/>
  <c r="J221" i="7"/>
  <c r="N222" i="7"/>
  <c r="P222" i="7"/>
  <c r="L223" i="7"/>
  <c r="L224" i="7"/>
  <c r="L225" i="7"/>
  <c r="I228" i="7"/>
  <c r="K228" i="7" s="1"/>
  <c r="I229" i="7"/>
  <c r="K229" i="7" s="1"/>
  <c r="I230" i="7"/>
  <c r="K230" i="7" s="1"/>
  <c r="N233" i="7"/>
  <c r="N234" i="7"/>
  <c r="N235" i="7"/>
  <c r="N236" i="7"/>
  <c r="J238" i="7"/>
  <c r="I240" i="7"/>
  <c r="K240" i="7" s="1"/>
  <c r="J240" i="7"/>
  <c r="I241" i="7"/>
  <c r="K241" i="7" s="1"/>
  <c r="J241" i="7"/>
  <c r="J242" i="7"/>
  <c r="J231" i="7" s="1"/>
  <c r="J185" i="7" s="1"/>
  <c r="N243" i="7"/>
  <c r="P243" i="7"/>
  <c r="L244" i="7"/>
  <c r="L245" i="7"/>
  <c r="L246" i="7"/>
  <c r="L247" i="7"/>
  <c r="I249" i="7"/>
  <c r="K251" i="7"/>
  <c r="K252" i="7"/>
  <c r="J253" i="7"/>
  <c r="N254" i="7"/>
  <c r="P254" i="7"/>
  <c r="L255" i="7"/>
  <c r="L256" i="7"/>
  <c r="L257" i="7"/>
  <c r="L258" i="7"/>
  <c r="I260" i="7"/>
  <c r="I253" i="7" s="1"/>
  <c r="K253" i="7" s="1"/>
  <c r="K262" i="7"/>
  <c r="K263" i="7"/>
  <c r="I265" i="7"/>
  <c r="K265" i="7" s="1"/>
  <c r="J265" i="7"/>
  <c r="L267" i="7"/>
  <c r="M267" i="7"/>
  <c r="P267" i="7" s="1"/>
  <c r="N267" i="7"/>
  <c r="O267" i="7"/>
  <c r="O270" i="7"/>
  <c r="P270" i="7"/>
  <c r="L271" i="7"/>
  <c r="L269" i="7" s="1"/>
  <c r="O269" i="7" s="1"/>
  <c r="M271" i="7"/>
  <c r="M269" i="7" s="1"/>
  <c r="P269" i="7" s="1"/>
  <c r="N271" i="7"/>
  <c r="N269" i="7" s="1"/>
  <c r="O273" i="7"/>
  <c r="P273" i="7"/>
  <c r="L274" i="7"/>
  <c r="L272" i="7" s="1"/>
  <c r="O272" i="7" s="1"/>
  <c r="M274" i="7"/>
  <c r="N274" i="7"/>
  <c r="N272" i="7" s="1"/>
  <c r="J280" i="7"/>
  <c r="J281" i="7"/>
  <c r="L283" i="7"/>
  <c r="O283" i="7" s="1"/>
  <c r="M283" i="7"/>
  <c r="N283" i="7"/>
  <c r="P283" i="7"/>
  <c r="O286" i="7"/>
  <c r="P286" i="7"/>
  <c r="L287" i="7"/>
  <c r="O287" i="7" s="1"/>
  <c r="M287" i="7"/>
  <c r="N287" i="7"/>
  <c r="N285" i="7" s="1"/>
  <c r="O289" i="7"/>
  <c r="P289" i="7"/>
  <c r="L290" i="7"/>
  <c r="L288" i="7" s="1"/>
  <c r="O288" i="7" s="1"/>
  <c r="M290" i="7"/>
  <c r="P290" i="7" s="1"/>
  <c r="N290" i="7"/>
  <c r="N288" i="7" s="1"/>
  <c r="I292" i="7"/>
  <c r="K292" i="7" s="1"/>
  <c r="I293" i="7"/>
  <c r="I280" i="7" s="1"/>
  <c r="K280" i="7" s="1"/>
  <c r="J293" i="7"/>
  <c r="I295" i="7"/>
  <c r="K295" i="7" s="1"/>
  <c r="I296" i="7"/>
  <c r="K296" i="7" s="1"/>
  <c r="J302" i="7"/>
  <c r="L304" i="7"/>
  <c r="M304" i="7"/>
  <c r="P304" i="7" s="1"/>
  <c r="N304" i="7"/>
  <c r="O304" i="7"/>
  <c r="O307" i="7"/>
  <c r="P307" i="7"/>
  <c r="L308" i="7"/>
  <c r="L306" i="7" s="1"/>
  <c r="O306" i="7" s="1"/>
  <c r="M308" i="7"/>
  <c r="M306" i="7" s="1"/>
  <c r="P306" i="7" s="1"/>
  <c r="N308" i="7"/>
  <c r="N306" i="7" s="1"/>
  <c r="O310" i="7"/>
  <c r="P310" i="7"/>
  <c r="L311" i="7"/>
  <c r="L309" i="7" s="1"/>
  <c r="O309" i="7" s="1"/>
  <c r="M311" i="7"/>
  <c r="M309" i="7" s="1"/>
  <c r="P309" i="7" s="1"/>
  <c r="N311" i="7"/>
  <c r="N309" i="7" s="1"/>
  <c r="I314" i="7"/>
  <c r="I302" i="7" s="1"/>
  <c r="K302" i="7" s="1"/>
  <c r="I315" i="7"/>
  <c r="K315" i="7" s="1"/>
  <c r="I316" i="7"/>
  <c r="K316" i="7" s="1"/>
  <c r="I317" i="7"/>
  <c r="K317" i="7" s="1"/>
  <c r="J319" i="7"/>
  <c r="L321" i="7"/>
  <c r="O321" i="7" s="1"/>
  <c r="M321" i="7"/>
  <c r="N321" i="7"/>
  <c r="O324" i="7"/>
  <c r="P324" i="7"/>
  <c r="L325" i="7"/>
  <c r="O325" i="7" s="1"/>
  <c r="M325" i="7"/>
  <c r="M323" i="7" s="1"/>
  <c r="P323" i="7" s="1"/>
  <c r="N325" i="7"/>
  <c r="N323" i="7" s="1"/>
  <c r="O327" i="7"/>
  <c r="P327" i="7"/>
  <c r="L328" i="7"/>
  <c r="O328" i="7" s="1"/>
  <c r="M328" i="7"/>
  <c r="P328" i="7" s="1"/>
  <c r="N328" i="7"/>
  <c r="N326" i="7" s="1"/>
  <c r="I330" i="7"/>
  <c r="I319" i="7" s="1"/>
  <c r="K319" i="7" s="1"/>
  <c r="L334" i="7"/>
  <c r="O334" i="7" s="1"/>
  <c r="M334" i="7"/>
  <c r="N334" i="7"/>
  <c r="O337" i="7"/>
  <c r="P337" i="7"/>
  <c r="L338" i="7"/>
  <c r="L336" i="7" s="1"/>
  <c r="M338" i="7"/>
  <c r="M336" i="7" s="1"/>
  <c r="N338" i="7"/>
  <c r="N336" i="7" s="1"/>
  <c r="O340" i="7"/>
  <c r="P340" i="7"/>
  <c r="L341" i="7"/>
  <c r="L339" i="7" s="1"/>
  <c r="O339" i="7" s="1"/>
  <c r="M341" i="7"/>
  <c r="M339" i="7" s="1"/>
  <c r="P339" i="7" s="1"/>
  <c r="N341" i="7"/>
  <c r="N339" i="7" s="1"/>
  <c r="I344" i="7"/>
  <c r="I332" i="7" s="1"/>
  <c r="J344" i="7"/>
  <c r="I346" i="7"/>
  <c r="J346" i="7"/>
  <c r="J347" i="7"/>
  <c r="J348" i="7"/>
  <c r="J349" i="7"/>
  <c r="D350" i="7"/>
  <c r="J352" i="7"/>
  <c r="J353" i="7"/>
  <c r="D354" i="7"/>
  <c r="L357" i="7"/>
  <c r="M357" i="7"/>
  <c r="P357" i="7" s="1"/>
  <c r="N357" i="7"/>
  <c r="O357" i="7"/>
  <c r="O360" i="7"/>
  <c r="P360" i="7"/>
  <c r="L361" i="7"/>
  <c r="M361" i="7"/>
  <c r="M359" i="7" s="1"/>
  <c r="N361" i="7"/>
  <c r="N359" i="7" s="1"/>
  <c r="O363" i="7"/>
  <c r="P363" i="7"/>
  <c r="L364" i="7"/>
  <c r="O364" i="7" s="1"/>
  <c r="M364" i="7"/>
  <c r="M362" i="7" s="1"/>
  <c r="P362" i="7" s="1"/>
  <c r="N364" i="7"/>
  <c r="N362" i="7" s="1"/>
  <c r="J367" i="7"/>
  <c r="K367" i="7"/>
  <c r="I368" i="7"/>
  <c r="J368" i="7"/>
  <c r="I369" i="7"/>
  <c r="J369" i="7"/>
  <c r="J370" i="7"/>
  <c r="K370" i="7"/>
  <c r="I371" i="7"/>
  <c r="J371" i="7"/>
  <c r="J365" i="7" s="1"/>
  <c r="J372" i="7"/>
  <c r="K372" i="7"/>
  <c r="D373" i="7"/>
  <c r="I376" i="7"/>
  <c r="K376" i="7" s="1"/>
  <c r="J376" i="7"/>
  <c r="L378" i="7"/>
  <c r="O378" i="7" s="1"/>
  <c r="M378" i="7"/>
  <c r="N378" i="7"/>
  <c r="P378" i="7"/>
  <c r="O381" i="7"/>
  <c r="P381" i="7"/>
  <c r="L382" i="7"/>
  <c r="M382" i="7"/>
  <c r="M380" i="7" s="1"/>
  <c r="P380" i="7" s="1"/>
  <c r="N382" i="7"/>
  <c r="N380" i="7" s="1"/>
  <c r="O384" i="7"/>
  <c r="P384" i="7"/>
  <c r="L385" i="7"/>
  <c r="L383" i="7" s="1"/>
  <c r="O383" i="7" s="1"/>
  <c r="M385" i="7"/>
  <c r="M383" i="7" s="1"/>
  <c r="P383" i="7" s="1"/>
  <c r="N385" i="7"/>
  <c r="N383" i="7" s="1"/>
  <c r="K387" i="7"/>
  <c r="K388" i="7"/>
  <c r="A391" i="7"/>
  <c r="L22" i="6"/>
  <c r="L19" i="6" s="1"/>
  <c r="M22" i="6"/>
  <c r="N22" i="6"/>
  <c r="L25" i="6"/>
  <c r="M25" i="6"/>
  <c r="P25" i="6" s="1"/>
  <c r="N25" i="6"/>
  <c r="O25" i="6"/>
  <c r="L45" i="6"/>
  <c r="M45" i="6"/>
  <c r="N45" i="6"/>
  <c r="O45" i="6"/>
  <c r="O48" i="6"/>
  <c r="P48" i="6"/>
  <c r="L49" i="6"/>
  <c r="M49" i="6"/>
  <c r="N49" i="6"/>
  <c r="O51" i="6"/>
  <c r="P51" i="6"/>
  <c r="L52" i="6"/>
  <c r="O52" i="6" s="1"/>
  <c r="M52" i="6"/>
  <c r="P52" i="6" s="1"/>
  <c r="N52" i="6"/>
  <c r="L60" i="6"/>
  <c r="O60" i="6" s="1"/>
  <c r="M60" i="6"/>
  <c r="P60" i="6" s="1"/>
  <c r="N60" i="6"/>
  <c r="O63" i="6"/>
  <c r="P63" i="6"/>
  <c r="L64" i="6"/>
  <c r="L62" i="6" s="1"/>
  <c r="M64" i="6"/>
  <c r="M62" i="6" s="1"/>
  <c r="N64" i="6"/>
  <c r="O66" i="6"/>
  <c r="P66" i="6"/>
  <c r="L67" i="6"/>
  <c r="O67" i="6" s="1"/>
  <c r="M67" i="6"/>
  <c r="M65" i="6" s="1"/>
  <c r="P65" i="6" s="1"/>
  <c r="N67" i="6"/>
  <c r="N65" i="6" s="1"/>
  <c r="L73" i="6"/>
  <c r="O73" i="6" s="1"/>
  <c r="M73" i="6"/>
  <c r="N73" i="6"/>
  <c r="O76" i="6"/>
  <c r="P76" i="6"/>
  <c r="L77" i="6"/>
  <c r="L75" i="6" s="1"/>
  <c r="O75" i="6" s="1"/>
  <c r="M77" i="6"/>
  <c r="M75" i="6" s="1"/>
  <c r="P75" i="6" s="1"/>
  <c r="N77" i="6"/>
  <c r="N75" i="6" s="1"/>
  <c r="O79" i="6"/>
  <c r="P79" i="6"/>
  <c r="L80" i="6"/>
  <c r="L78" i="6" s="1"/>
  <c r="O78" i="6" s="1"/>
  <c r="M80" i="6"/>
  <c r="M78" i="6" s="1"/>
  <c r="P78" i="6" s="1"/>
  <c r="N80" i="6"/>
  <c r="N78" i="6" s="1"/>
  <c r="J82" i="6"/>
  <c r="J70" i="6" s="1"/>
  <c r="J83" i="6"/>
  <c r="J71" i="6" s="1"/>
  <c r="I84" i="6"/>
  <c r="I85" i="6"/>
  <c r="K85" i="6" s="1"/>
  <c r="I86" i="6"/>
  <c r="K86" i="6" s="1"/>
  <c r="I87" i="6"/>
  <c r="K87" i="6" s="1"/>
  <c r="I88" i="6"/>
  <c r="K88" i="6" s="1"/>
  <c r="I89" i="6"/>
  <c r="K89" i="6" s="1"/>
  <c r="I90" i="6"/>
  <c r="K90" i="6" s="1"/>
  <c r="J92" i="6"/>
  <c r="J93" i="6"/>
  <c r="L95" i="6"/>
  <c r="M95" i="6"/>
  <c r="P95" i="6" s="1"/>
  <c r="N95" i="6"/>
  <c r="O95" i="6"/>
  <c r="O98" i="6"/>
  <c r="P98" i="6"/>
  <c r="L99" i="6"/>
  <c r="L97" i="6" s="1"/>
  <c r="O97" i="6" s="1"/>
  <c r="M99" i="6"/>
  <c r="M97" i="6" s="1"/>
  <c r="P97" i="6" s="1"/>
  <c r="N99" i="6"/>
  <c r="N97" i="6" s="1"/>
  <c r="O101" i="6"/>
  <c r="P101" i="6"/>
  <c r="L102" i="6"/>
  <c r="L100" i="6" s="1"/>
  <c r="O100" i="6" s="1"/>
  <c r="M102" i="6"/>
  <c r="M100" i="6" s="1"/>
  <c r="P100" i="6" s="1"/>
  <c r="N102" i="6"/>
  <c r="N100" i="6" s="1"/>
  <c r="I108" i="6"/>
  <c r="K108" i="6" s="1"/>
  <c r="I109" i="6"/>
  <c r="I93" i="6" s="1"/>
  <c r="K93" i="6" s="1"/>
  <c r="I117" i="6"/>
  <c r="K117" i="6" s="1"/>
  <c r="L126" i="6"/>
  <c r="O126" i="6" s="1"/>
  <c r="M126" i="6"/>
  <c r="P126" i="6" s="1"/>
  <c r="N126" i="6"/>
  <c r="O129" i="6"/>
  <c r="P129" i="6"/>
  <c r="L130" i="6"/>
  <c r="O130" i="6" s="1"/>
  <c r="M130" i="6"/>
  <c r="P130" i="6" s="1"/>
  <c r="N130" i="6"/>
  <c r="N128" i="6" s="1"/>
  <c r="O132" i="6"/>
  <c r="P132" i="6"/>
  <c r="L133" i="6"/>
  <c r="O133" i="6" s="1"/>
  <c r="M133" i="6"/>
  <c r="P133" i="6" s="1"/>
  <c r="N133" i="6"/>
  <c r="N131" i="6" s="1"/>
  <c r="J136" i="6"/>
  <c r="J137" i="6"/>
  <c r="J138" i="6"/>
  <c r="L140" i="6"/>
  <c r="O140" i="6" s="1"/>
  <c r="M140" i="6"/>
  <c r="N140" i="6"/>
  <c r="P140" i="6"/>
  <c r="O143" i="6"/>
  <c r="P143" i="6"/>
  <c r="L144" i="6"/>
  <c r="O144" i="6" s="1"/>
  <c r="M144" i="6"/>
  <c r="P144" i="6" s="1"/>
  <c r="N144" i="6"/>
  <c r="N142" i="6" s="1"/>
  <c r="O146" i="6"/>
  <c r="P146" i="6"/>
  <c r="L147" i="6"/>
  <c r="O147" i="6" s="1"/>
  <c r="M147" i="6"/>
  <c r="P147" i="6" s="1"/>
  <c r="N147" i="6"/>
  <c r="N145" i="6" s="1"/>
  <c r="I150" i="6"/>
  <c r="K150" i="6" s="1"/>
  <c r="I151" i="6"/>
  <c r="K151" i="6" s="1"/>
  <c r="I152" i="6"/>
  <c r="K152" i="6" s="1"/>
  <c r="I153" i="6"/>
  <c r="K153" i="6" s="1"/>
  <c r="I154" i="6"/>
  <c r="I136" i="6" s="1"/>
  <c r="K136" i="6" s="1"/>
  <c r="J156" i="6"/>
  <c r="L158" i="6"/>
  <c r="M158" i="6"/>
  <c r="N158" i="6"/>
  <c r="O158" i="6"/>
  <c r="O161" i="6"/>
  <c r="P161" i="6"/>
  <c r="L162" i="6"/>
  <c r="O162" i="6" s="1"/>
  <c r="M162" i="6"/>
  <c r="M160" i="6" s="1"/>
  <c r="P160" i="6" s="1"/>
  <c r="N162" i="6"/>
  <c r="N160" i="6" s="1"/>
  <c r="O164" i="6"/>
  <c r="P164" i="6"/>
  <c r="L165" i="6"/>
  <c r="L163" i="6" s="1"/>
  <c r="O163" i="6" s="1"/>
  <c r="M165" i="6"/>
  <c r="M163" i="6" s="1"/>
  <c r="P163" i="6" s="1"/>
  <c r="N165" i="6"/>
  <c r="I167" i="6"/>
  <c r="K167" i="6" s="1"/>
  <c r="I168" i="6"/>
  <c r="K168" i="6" s="1"/>
  <c r="I169" i="6"/>
  <c r="K169" i="6" s="1"/>
  <c r="J172" i="6"/>
  <c r="L174" i="6"/>
  <c r="O174" i="6" s="1"/>
  <c r="M174" i="6"/>
  <c r="P174" i="6" s="1"/>
  <c r="N174" i="6"/>
  <c r="O177" i="6"/>
  <c r="P177" i="6"/>
  <c r="L178" i="6"/>
  <c r="L176" i="6" s="1"/>
  <c r="M178" i="6"/>
  <c r="M176" i="6" s="1"/>
  <c r="N178" i="6"/>
  <c r="O180" i="6"/>
  <c r="P180" i="6"/>
  <c r="L181" i="6"/>
  <c r="L179" i="6" s="1"/>
  <c r="O179" i="6" s="1"/>
  <c r="M181" i="6"/>
  <c r="M179" i="6" s="1"/>
  <c r="P179" i="6" s="1"/>
  <c r="N181" i="6"/>
  <c r="N179" i="6" s="1"/>
  <c r="I183" i="6"/>
  <c r="K183" i="6" s="1"/>
  <c r="K184" i="6"/>
  <c r="L187" i="6"/>
  <c r="O187" i="6" s="1"/>
  <c r="M187" i="6"/>
  <c r="N187" i="6"/>
  <c r="P187" i="6"/>
  <c r="O190" i="6"/>
  <c r="P190" i="6"/>
  <c r="L191" i="6"/>
  <c r="L189" i="6" s="1"/>
  <c r="M191" i="6"/>
  <c r="M189" i="6" s="1"/>
  <c r="N191" i="6"/>
  <c r="O193" i="6"/>
  <c r="P193" i="6"/>
  <c r="L194" i="6"/>
  <c r="O194" i="6" s="1"/>
  <c r="M194" i="6"/>
  <c r="M192" i="6" s="1"/>
  <c r="P192" i="6" s="1"/>
  <c r="N194" i="6"/>
  <c r="N192" i="6" s="1"/>
  <c r="J195" i="6"/>
  <c r="L196" i="6"/>
  <c r="O196" i="6" s="1"/>
  <c r="P196" i="6"/>
  <c r="I198" i="6"/>
  <c r="K198" i="6" s="1"/>
  <c r="J199" i="6"/>
  <c r="J202" i="6"/>
  <c r="N203" i="6"/>
  <c r="P203" i="6"/>
  <c r="L204" i="6"/>
  <c r="L205" i="6"/>
  <c r="L206" i="6"/>
  <c r="L207" i="6"/>
  <c r="I209" i="6"/>
  <c r="I202" i="6" s="1"/>
  <c r="K202" i="6" s="1"/>
  <c r="I211" i="6"/>
  <c r="K211" i="6" s="1"/>
  <c r="I212" i="6"/>
  <c r="K212" i="6" s="1"/>
  <c r="J213" i="6"/>
  <c r="N214" i="6"/>
  <c r="P214" i="6"/>
  <c r="L215" i="6"/>
  <c r="L216" i="6"/>
  <c r="L217" i="6"/>
  <c r="I219" i="6"/>
  <c r="K219" i="6" s="1"/>
  <c r="I220" i="6"/>
  <c r="I213" i="6" s="1"/>
  <c r="K213" i="6" s="1"/>
  <c r="J221" i="6"/>
  <c r="N222" i="6"/>
  <c r="P222" i="6"/>
  <c r="L223" i="6"/>
  <c r="L224" i="6"/>
  <c r="L225" i="6"/>
  <c r="I228" i="6"/>
  <c r="K228" i="6" s="1"/>
  <c r="I229" i="6"/>
  <c r="I221" i="6" s="1"/>
  <c r="K221" i="6" s="1"/>
  <c r="I230" i="6"/>
  <c r="K230" i="6" s="1"/>
  <c r="N233" i="6"/>
  <c r="N234" i="6"/>
  <c r="N235" i="6"/>
  <c r="N236" i="6"/>
  <c r="J238" i="6"/>
  <c r="I240" i="6"/>
  <c r="K240" i="6" s="1"/>
  <c r="J240" i="6"/>
  <c r="I241" i="6"/>
  <c r="K241" i="6" s="1"/>
  <c r="J241" i="6"/>
  <c r="J242" i="6"/>
  <c r="J231" i="6" s="1"/>
  <c r="J185" i="6" s="1"/>
  <c r="N243" i="6"/>
  <c r="N232" i="6" s="1"/>
  <c r="P243" i="6"/>
  <c r="L244" i="6"/>
  <c r="L245" i="6"/>
  <c r="L246" i="6"/>
  <c r="L247" i="6"/>
  <c r="I249" i="6"/>
  <c r="K249" i="6" s="1"/>
  <c r="K251" i="6"/>
  <c r="K252" i="6"/>
  <c r="J253" i="6"/>
  <c r="N254" i="6"/>
  <c r="P254" i="6"/>
  <c r="L255" i="6"/>
  <c r="L256" i="6"/>
  <c r="L257" i="6"/>
  <c r="L258" i="6"/>
  <c r="I260" i="6"/>
  <c r="K260" i="6" s="1"/>
  <c r="K262" i="6"/>
  <c r="K263" i="6"/>
  <c r="I265" i="6"/>
  <c r="K265" i="6" s="1"/>
  <c r="J265" i="6"/>
  <c r="L267" i="6"/>
  <c r="M267" i="6"/>
  <c r="N267" i="6"/>
  <c r="O267" i="6"/>
  <c r="O270" i="6"/>
  <c r="P270" i="6"/>
  <c r="L271" i="6"/>
  <c r="O271" i="6" s="1"/>
  <c r="M271" i="6"/>
  <c r="M269" i="6" s="1"/>
  <c r="P269" i="6" s="1"/>
  <c r="N271" i="6"/>
  <c r="N269" i="6" s="1"/>
  <c r="O273" i="6"/>
  <c r="P273" i="6"/>
  <c r="L274" i="6"/>
  <c r="O274" i="6" s="1"/>
  <c r="M274" i="6"/>
  <c r="M272" i="6" s="1"/>
  <c r="P272" i="6" s="1"/>
  <c r="N274" i="6"/>
  <c r="N272" i="6" s="1"/>
  <c r="J281" i="6"/>
  <c r="L283" i="6"/>
  <c r="M283" i="6"/>
  <c r="N283" i="6"/>
  <c r="P283" i="6"/>
  <c r="O286" i="6"/>
  <c r="P286" i="6"/>
  <c r="L287" i="6"/>
  <c r="M287" i="6"/>
  <c r="M285" i="6" s="1"/>
  <c r="P285" i="6" s="1"/>
  <c r="N287" i="6"/>
  <c r="O289" i="6"/>
  <c r="P289" i="6"/>
  <c r="L290" i="6"/>
  <c r="L288" i="6" s="1"/>
  <c r="O288" i="6" s="1"/>
  <c r="M290" i="6"/>
  <c r="M288" i="6" s="1"/>
  <c r="P288" i="6" s="1"/>
  <c r="N290" i="6"/>
  <c r="N288" i="6" s="1"/>
  <c r="I292" i="6"/>
  <c r="K292" i="6" s="1"/>
  <c r="I293" i="6"/>
  <c r="K293" i="6" s="1"/>
  <c r="J293" i="6"/>
  <c r="J280" i="6" s="1"/>
  <c r="I295" i="6"/>
  <c r="K295" i="6" s="1"/>
  <c r="I296" i="6"/>
  <c r="K296" i="6" s="1"/>
  <c r="J302" i="6"/>
  <c r="L304" i="6"/>
  <c r="M304" i="6"/>
  <c r="N304" i="6"/>
  <c r="P304" i="6"/>
  <c r="O307" i="6"/>
  <c r="P307" i="6"/>
  <c r="L308" i="6"/>
  <c r="L306" i="6" s="1"/>
  <c r="O306" i="6" s="1"/>
  <c r="M308" i="6"/>
  <c r="M306" i="6" s="1"/>
  <c r="P306" i="6" s="1"/>
  <c r="N308" i="6"/>
  <c r="N306" i="6" s="1"/>
  <c r="O310" i="6"/>
  <c r="P310" i="6"/>
  <c r="L311" i="6"/>
  <c r="L309" i="6" s="1"/>
  <c r="O309" i="6" s="1"/>
  <c r="M311" i="6"/>
  <c r="M309" i="6" s="1"/>
  <c r="P309" i="6" s="1"/>
  <c r="N311" i="6"/>
  <c r="N309" i="6" s="1"/>
  <c r="I314" i="6"/>
  <c r="K314" i="6" s="1"/>
  <c r="I315" i="6"/>
  <c r="K315" i="6" s="1"/>
  <c r="I316" i="6"/>
  <c r="K316" i="6" s="1"/>
  <c r="I317" i="6"/>
  <c r="K317" i="6" s="1"/>
  <c r="J319" i="6"/>
  <c r="L321" i="6"/>
  <c r="O321" i="6" s="1"/>
  <c r="M321" i="6"/>
  <c r="N321" i="6"/>
  <c r="P321" i="6"/>
  <c r="O324" i="6"/>
  <c r="P324" i="6"/>
  <c r="L325" i="6"/>
  <c r="L323" i="6" s="1"/>
  <c r="O323" i="6" s="1"/>
  <c r="M325" i="6"/>
  <c r="M323" i="6" s="1"/>
  <c r="P323" i="6" s="1"/>
  <c r="N325" i="6"/>
  <c r="N323" i="6" s="1"/>
  <c r="O327" i="6"/>
  <c r="P327" i="6"/>
  <c r="L328" i="6"/>
  <c r="L326" i="6" s="1"/>
  <c r="O326" i="6" s="1"/>
  <c r="M328" i="6"/>
  <c r="P328" i="6" s="1"/>
  <c r="N328" i="6"/>
  <c r="N326" i="6" s="1"/>
  <c r="I330" i="6"/>
  <c r="K330" i="6" s="1"/>
  <c r="L334" i="6"/>
  <c r="M334" i="6"/>
  <c r="P334" i="6" s="1"/>
  <c r="N334" i="6"/>
  <c r="O334" i="6"/>
  <c r="O337" i="6"/>
  <c r="P337" i="6"/>
  <c r="L338" i="6"/>
  <c r="L336" i="6" s="1"/>
  <c r="M338" i="6"/>
  <c r="M336" i="6" s="1"/>
  <c r="N338" i="6"/>
  <c r="N336" i="6" s="1"/>
  <c r="O340" i="6"/>
  <c r="P340" i="6"/>
  <c r="L341" i="6"/>
  <c r="L339" i="6" s="1"/>
  <c r="O339" i="6" s="1"/>
  <c r="M341" i="6"/>
  <c r="M339" i="6" s="1"/>
  <c r="P339" i="6" s="1"/>
  <c r="N341" i="6"/>
  <c r="N339" i="6" s="1"/>
  <c r="I344" i="6"/>
  <c r="J344" i="6"/>
  <c r="I346" i="6"/>
  <c r="J346" i="6"/>
  <c r="J347" i="6"/>
  <c r="J348" i="6"/>
  <c r="J349" i="6"/>
  <c r="D350" i="6"/>
  <c r="J352" i="6"/>
  <c r="J353" i="6"/>
  <c r="D354" i="6"/>
  <c r="L357" i="6"/>
  <c r="M357" i="6"/>
  <c r="P357" i="6" s="1"/>
  <c r="N357" i="6"/>
  <c r="O357" i="6"/>
  <c r="O360" i="6"/>
  <c r="P360" i="6"/>
  <c r="L361" i="6"/>
  <c r="M361" i="6"/>
  <c r="N361" i="6"/>
  <c r="N359" i="6" s="1"/>
  <c r="O363" i="6"/>
  <c r="P363" i="6"/>
  <c r="L364" i="6"/>
  <c r="O364" i="6" s="1"/>
  <c r="M364" i="6"/>
  <c r="M362" i="6" s="1"/>
  <c r="P362" i="6" s="1"/>
  <c r="N364" i="6"/>
  <c r="N362" i="6" s="1"/>
  <c r="J367" i="6"/>
  <c r="K367" i="6"/>
  <c r="I368" i="6"/>
  <c r="J368" i="6"/>
  <c r="I369" i="6"/>
  <c r="J369" i="6"/>
  <c r="J370" i="6"/>
  <c r="K370" i="6"/>
  <c r="I371" i="6"/>
  <c r="J371" i="6"/>
  <c r="J365" i="6" s="1"/>
  <c r="J372" i="6"/>
  <c r="K372" i="6"/>
  <c r="D373" i="6"/>
  <c r="I376" i="6"/>
  <c r="K376" i="6" s="1"/>
  <c r="J376" i="6"/>
  <c r="L378" i="6"/>
  <c r="M378" i="6"/>
  <c r="N378" i="6"/>
  <c r="O378" i="6"/>
  <c r="O381" i="6"/>
  <c r="P381" i="6"/>
  <c r="L382" i="6"/>
  <c r="L380" i="6" s="1"/>
  <c r="O380" i="6" s="1"/>
  <c r="M382" i="6"/>
  <c r="M380" i="6" s="1"/>
  <c r="P380" i="6" s="1"/>
  <c r="N382" i="6"/>
  <c r="O384" i="6"/>
  <c r="P384" i="6"/>
  <c r="L385" i="6"/>
  <c r="L383" i="6" s="1"/>
  <c r="O383" i="6" s="1"/>
  <c r="M385" i="6"/>
  <c r="M383" i="6" s="1"/>
  <c r="P383" i="6" s="1"/>
  <c r="N385" i="6"/>
  <c r="N383" i="6" s="1"/>
  <c r="K387" i="6"/>
  <c r="K388" i="6"/>
  <c r="A391" i="6"/>
  <c r="L22" i="5"/>
  <c r="M22" i="5"/>
  <c r="P22" i="5" s="1"/>
  <c r="N22" i="5"/>
  <c r="L25" i="5"/>
  <c r="O25" i="5" s="1"/>
  <c r="M25" i="5"/>
  <c r="N25" i="5"/>
  <c r="L45" i="5"/>
  <c r="M45" i="5"/>
  <c r="P45" i="5" s="1"/>
  <c r="N45" i="5"/>
  <c r="O45" i="5"/>
  <c r="O48" i="5"/>
  <c r="P48" i="5"/>
  <c r="L49" i="5"/>
  <c r="L47" i="5" s="1"/>
  <c r="M49" i="5"/>
  <c r="M47" i="5" s="1"/>
  <c r="N49" i="5"/>
  <c r="O51" i="5"/>
  <c r="P51" i="5"/>
  <c r="L52" i="5"/>
  <c r="L50" i="5" s="1"/>
  <c r="O50" i="5" s="1"/>
  <c r="M52" i="5"/>
  <c r="P52" i="5" s="1"/>
  <c r="N52" i="5"/>
  <c r="N50" i="5" s="1"/>
  <c r="L60" i="5"/>
  <c r="M60" i="5"/>
  <c r="P60" i="5" s="1"/>
  <c r="N60" i="5"/>
  <c r="O63" i="5"/>
  <c r="P63" i="5"/>
  <c r="L64" i="5"/>
  <c r="M64" i="5"/>
  <c r="N64" i="5"/>
  <c r="O66" i="5"/>
  <c r="P66" i="5"/>
  <c r="L67" i="5"/>
  <c r="L65" i="5" s="1"/>
  <c r="O65" i="5" s="1"/>
  <c r="M67" i="5"/>
  <c r="N67" i="5"/>
  <c r="N65" i="5" s="1"/>
  <c r="L73" i="5"/>
  <c r="M73" i="5"/>
  <c r="P73" i="5" s="1"/>
  <c r="N73" i="5"/>
  <c r="O73" i="5"/>
  <c r="O76" i="5"/>
  <c r="P76" i="5"/>
  <c r="L77" i="5"/>
  <c r="L75" i="5" s="1"/>
  <c r="O75" i="5" s="1"/>
  <c r="M77" i="5"/>
  <c r="M75" i="5" s="1"/>
  <c r="P75" i="5" s="1"/>
  <c r="N77" i="5"/>
  <c r="O79" i="5"/>
  <c r="P79" i="5"/>
  <c r="L80" i="5"/>
  <c r="L78" i="5" s="1"/>
  <c r="O78" i="5" s="1"/>
  <c r="M80" i="5"/>
  <c r="M78" i="5" s="1"/>
  <c r="P78" i="5" s="1"/>
  <c r="N80" i="5"/>
  <c r="N78" i="5" s="1"/>
  <c r="J82" i="5"/>
  <c r="J70" i="5" s="1"/>
  <c r="J83" i="5"/>
  <c r="J71" i="5" s="1"/>
  <c r="I84" i="5"/>
  <c r="K84" i="5" s="1"/>
  <c r="I85" i="5"/>
  <c r="I86" i="5"/>
  <c r="K86" i="5" s="1"/>
  <c r="I87" i="5"/>
  <c r="K87" i="5" s="1"/>
  <c r="I88" i="5"/>
  <c r="K88" i="5" s="1"/>
  <c r="I89" i="5"/>
  <c r="K89" i="5" s="1"/>
  <c r="I90" i="5"/>
  <c r="K90" i="5" s="1"/>
  <c r="J92" i="5"/>
  <c r="J93" i="5"/>
  <c r="L95" i="5"/>
  <c r="O95" i="5" s="1"/>
  <c r="M95" i="5"/>
  <c r="P95" i="5" s="1"/>
  <c r="N95" i="5"/>
  <c r="O98" i="5"/>
  <c r="P98" i="5"/>
  <c r="L99" i="5"/>
  <c r="L97" i="5" s="1"/>
  <c r="O97" i="5" s="1"/>
  <c r="M99" i="5"/>
  <c r="M97" i="5" s="1"/>
  <c r="P97" i="5" s="1"/>
  <c r="N99" i="5"/>
  <c r="N97" i="5" s="1"/>
  <c r="O101" i="5"/>
  <c r="P101" i="5"/>
  <c r="L102" i="5"/>
  <c r="L100" i="5" s="1"/>
  <c r="O100" i="5" s="1"/>
  <c r="M102" i="5"/>
  <c r="M100" i="5" s="1"/>
  <c r="P100" i="5" s="1"/>
  <c r="N102" i="5"/>
  <c r="N100" i="5" s="1"/>
  <c r="I108" i="5"/>
  <c r="I109" i="5"/>
  <c r="I93" i="5" s="1"/>
  <c r="K93" i="5" s="1"/>
  <c r="I117" i="5"/>
  <c r="K117" i="5" s="1"/>
  <c r="L126" i="5"/>
  <c r="O126" i="5" s="1"/>
  <c r="M126" i="5"/>
  <c r="N126" i="5"/>
  <c r="O129" i="5"/>
  <c r="P129" i="5"/>
  <c r="L130" i="5"/>
  <c r="O130" i="5" s="1"/>
  <c r="M130" i="5"/>
  <c r="M128" i="5" s="1"/>
  <c r="P128" i="5" s="1"/>
  <c r="N130" i="5"/>
  <c r="N128" i="5" s="1"/>
  <c r="O132" i="5"/>
  <c r="P132" i="5"/>
  <c r="L133" i="5"/>
  <c r="O133" i="5" s="1"/>
  <c r="M133" i="5"/>
  <c r="M131" i="5" s="1"/>
  <c r="P131" i="5" s="1"/>
  <c r="N133" i="5"/>
  <c r="N131" i="5" s="1"/>
  <c r="J136" i="5"/>
  <c r="J137" i="5"/>
  <c r="J138" i="5"/>
  <c r="L140" i="5"/>
  <c r="O140" i="5" s="1"/>
  <c r="M140" i="5"/>
  <c r="N140" i="5"/>
  <c r="O143" i="5"/>
  <c r="P143" i="5"/>
  <c r="L144" i="5"/>
  <c r="O144" i="5" s="1"/>
  <c r="M144" i="5"/>
  <c r="P144" i="5" s="1"/>
  <c r="N144" i="5"/>
  <c r="N142" i="5" s="1"/>
  <c r="O146" i="5"/>
  <c r="P146" i="5"/>
  <c r="L147" i="5"/>
  <c r="O147" i="5" s="1"/>
  <c r="M147" i="5"/>
  <c r="M145" i="5" s="1"/>
  <c r="P145" i="5" s="1"/>
  <c r="N147" i="5"/>
  <c r="N145" i="5" s="1"/>
  <c r="I150" i="5"/>
  <c r="K150" i="5" s="1"/>
  <c r="I151" i="5"/>
  <c r="K151" i="5" s="1"/>
  <c r="I152" i="5"/>
  <c r="I137" i="5" s="1"/>
  <c r="K137" i="5" s="1"/>
  <c r="I153" i="5"/>
  <c r="I138" i="5" s="1"/>
  <c r="K138" i="5" s="1"/>
  <c r="I154" i="5"/>
  <c r="I136" i="5" s="1"/>
  <c r="K136" i="5" s="1"/>
  <c r="J156" i="5"/>
  <c r="L158" i="5"/>
  <c r="M158" i="5"/>
  <c r="P158" i="5" s="1"/>
  <c r="N158" i="5"/>
  <c r="O158" i="5"/>
  <c r="O161" i="5"/>
  <c r="P161" i="5"/>
  <c r="L162" i="5"/>
  <c r="L160" i="5" s="1"/>
  <c r="O160" i="5" s="1"/>
  <c r="M162" i="5"/>
  <c r="M160" i="5" s="1"/>
  <c r="P160" i="5" s="1"/>
  <c r="N162" i="5"/>
  <c r="O164" i="5"/>
  <c r="P164" i="5"/>
  <c r="L165" i="5"/>
  <c r="L163" i="5" s="1"/>
  <c r="O163" i="5" s="1"/>
  <c r="M165" i="5"/>
  <c r="M163" i="5" s="1"/>
  <c r="P163" i="5" s="1"/>
  <c r="N165" i="5"/>
  <c r="N163" i="5" s="1"/>
  <c r="I167" i="5"/>
  <c r="K167" i="5" s="1"/>
  <c r="I168" i="5"/>
  <c r="K168" i="5" s="1"/>
  <c r="I169" i="5"/>
  <c r="I156" i="5" s="1"/>
  <c r="K156" i="5" s="1"/>
  <c r="J172" i="5"/>
  <c r="L174" i="5"/>
  <c r="O174" i="5" s="1"/>
  <c r="M174" i="5"/>
  <c r="P174" i="5" s="1"/>
  <c r="N174" i="5"/>
  <c r="O177" i="5"/>
  <c r="P177" i="5"/>
  <c r="L178" i="5"/>
  <c r="L176" i="5" s="1"/>
  <c r="M178" i="5"/>
  <c r="M176" i="5" s="1"/>
  <c r="N178" i="5"/>
  <c r="N176" i="5" s="1"/>
  <c r="O180" i="5"/>
  <c r="P180" i="5"/>
  <c r="L181" i="5"/>
  <c r="L179" i="5" s="1"/>
  <c r="O179" i="5" s="1"/>
  <c r="M181" i="5"/>
  <c r="M179" i="5" s="1"/>
  <c r="P179" i="5" s="1"/>
  <c r="N181" i="5"/>
  <c r="N179" i="5" s="1"/>
  <c r="I183" i="5"/>
  <c r="I172" i="5" s="1"/>
  <c r="K184" i="5"/>
  <c r="L187" i="5"/>
  <c r="M187" i="5"/>
  <c r="P187" i="5" s="1"/>
  <c r="N187" i="5"/>
  <c r="O190" i="5"/>
  <c r="P190" i="5"/>
  <c r="L191" i="5"/>
  <c r="L189" i="5" s="1"/>
  <c r="M191" i="5"/>
  <c r="N191" i="5"/>
  <c r="O193" i="5"/>
  <c r="P193" i="5"/>
  <c r="L194" i="5"/>
  <c r="L192" i="5" s="1"/>
  <c r="O192" i="5" s="1"/>
  <c r="M194" i="5"/>
  <c r="N194" i="5"/>
  <c r="N192" i="5" s="1"/>
  <c r="J195" i="5"/>
  <c r="L196" i="5"/>
  <c r="O196" i="5" s="1"/>
  <c r="P196" i="5"/>
  <c r="I198" i="5"/>
  <c r="I195" i="5" s="1"/>
  <c r="J199" i="5"/>
  <c r="J202" i="5"/>
  <c r="N203" i="5"/>
  <c r="P203" i="5"/>
  <c r="L204" i="5"/>
  <c r="L205" i="5"/>
  <c r="L206" i="5"/>
  <c r="L207" i="5"/>
  <c r="I209" i="5"/>
  <c r="I211" i="5"/>
  <c r="K211" i="5" s="1"/>
  <c r="I212" i="5"/>
  <c r="K212" i="5" s="1"/>
  <c r="J213" i="5"/>
  <c r="N214" i="5"/>
  <c r="P214" i="5"/>
  <c r="L215" i="5"/>
  <c r="L216" i="5"/>
  <c r="L217" i="5"/>
  <c r="I219" i="5"/>
  <c r="K219" i="5" s="1"/>
  <c r="I220" i="5"/>
  <c r="K220" i="5" s="1"/>
  <c r="J221" i="5"/>
  <c r="N222" i="5"/>
  <c r="P222" i="5"/>
  <c r="L223" i="5"/>
  <c r="L224" i="5"/>
  <c r="L225" i="5"/>
  <c r="I228" i="5"/>
  <c r="K228" i="5" s="1"/>
  <c r="I229" i="5"/>
  <c r="I221" i="5" s="1"/>
  <c r="I230" i="5"/>
  <c r="N233" i="5"/>
  <c r="N234" i="5"/>
  <c r="N235" i="5"/>
  <c r="N236" i="5"/>
  <c r="J238" i="5"/>
  <c r="I240" i="5"/>
  <c r="J240" i="5"/>
  <c r="K240" i="5"/>
  <c r="I241" i="5"/>
  <c r="J241" i="5"/>
  <c r="K241" i="5"/>
  <c r="J242" i="5"/>
  <c r="N243" i="5"/>
  <c r="N232" i="5" s="1"/>
  <c r="P243" i="5"/>
  <c r="L244" i="5"/>
  <c r="L245" i="5"/>
  <c r="L246" i="5"/>
  <c r="L247" i="5"/>
  <c r="I249" i="5"/>
  <c r="K249" i="5" s="1"/>
  <c r="K251" i="5"/>
  <c r="K252" i="5"/>
  <c r="J253" i="5"/>
  <c r="N254" i="5"/>
  <c r="P254" i="5"/>
  <c r="L255" i="5"/>
  <c r="L256" i="5"/>
  <c r="L257" i="5"/>
  <c r="L258" i="5"/>
  <c r="I260" i="5"/>
  <c r="K262" i="5"/>
  <c r="K263" i="5"/>
  <c r="I265" i="5"/>
  <c r="K265" i="5" s="1"/>
  <c r="J265" i="5"/>
  <c r="L267" i="5"/>
  <c r="M267" i="5"/>
  <c r="N267" i="5"/>
  <c r="P267" i="5"/>
  <c r="O270" i="5"/>
  <c r="P270" i="5"/>
  <c r="L271" i="5"/>
  <c r="L269" i="5" s="1"/>
  <c r="O269" i="5" s="1"/>
  <c r="M271" i="5"/>
  <c r="M269" i="5" s="1"/>
  <c r="P269" i="5" s="1"/>
  <c r="N271" i="5"/>
  <c r="O273" i="5"/>
  <c r="P273" i="5"/>
  <c r="L274" i="5"/>
  <c r="L272" i="5" s="1"/>
  <c r="O272" i="5" s="1"/>
  <c r="M274" i="5"/>
  <c r="M272" i="5" s="1"/>
  <c r="P272" i="5" s="1"/>
  <c r="N274" i="5"/>
  <c r="N272" i="5" s="1"/>
  <c r="J281" i="5"/>
  <c r="L283" i="5"/>
  <c r="M283" i="5"/>
  <c r="N283" i="5"/>
  <c r="O286" i="5"/>
  <c r="P286" i="5"/>
  <c r="L287" i="5"/>
  <c r="M287" i="5"/>
  <c r="M285" i="5" s="1"/>
  <c r="P285" i="5" s="1"/>
  <c r="N287" i="5"/>
  <c r="N285" i="5" s="1"/>
  <c r="O289" i="5"/>
  <c r="P289" i="5"/>
  <c r="L290" i="5"/>
  <c r="M290" i="5"/>
  <c r="M288" i="5" s="1"/>
  <c r="P288" i="5" s="1"/>
  <c r="N290" i="5"/>
  <c r="I292" i="5"/>
  <c r="I281" i="5" s="1"/>
  <c r="K281" i="5" s="1"/>
  <c r="I293" i="5"/>
  <c r="K293" i="5" s="1"/>
  <c r="J293" i="5"/>
  <c r="J280" i="5" s="1"/>
  <c r="I295" i="5"/>
  <c r="K295" i="5" s="1"/>
  <c r="I296" i="5"/>
  <c r="K296" i="5" s="1"/>
  <c r="J302" i="5"/>
  <c r="L304" i="5"/>
  <c r="M304" i="5"/>
  <c r="P304" i="5" s="1"/>
  <c r="N304" i="5"/>
  <c r="O304" i="5"/>
  <c r="O307" i="5"/>
  <c r="P307" i="5"/>
  <c r="L308" i="5"/>
  <c r="L306" i="5" s="1"/>
  <c r="O306" i="5" s="1"/>
  <c r="M308" i="5"/>
  <c r="M306" i="5" s="1"/>
  <c r="P306" i="5" s="1"/>
  <c r="N308" i="5"/>
  <c r="O310" i="5"/>
  <c r="P310" i="5"/>
  <c r="L311" i="5"/>
  <c r="L309" i="5" s="1"/>
  <c r="O309" i="5" s="1"/>
  <c r="M311" i="5"/>
  <c r="M309" i="5" s="1"/>
  <c r="P309" i="5" s="1"/>
  <c r="N311" i="5"/>
  <c r="N309" i="5" s="1"/>
  <c r="I314" i="5"/>
  <c r="K314" i="5" s="1"/>
  <c r="I315" i="5"/>
  <c r="K315" i="5" s="1"/>
  <c r="I316" i="5"/>
  <c r="K316" i="5" s="1"/>
  <c r="I317" i="5"/>
  <c r="K317" i="5" s="1"/>
  <c r="J319" i="5"/>
  <c r="L321" i="5"/>
  <c r="O321" i="5" s="1"/>
  <c r="M321" i="5"/>
  <c r="P321" i="5" s="1"/>
  <c r="N321" i="5"/>
  <c r="O324" i="5"/>
  <c r="P324" i="5"/>
  <c r="L325" i="5"/>
  <c r="O325" i="5" s="1"/>
  <c r="M325" i="5"/>
  <c r="M323" i="5" s="1"/>
  <c r="P323" i="5" s="1"/>
  <c r="N325" i="5"/>
  <c r="N323" i="5" s="1"/>
  <c r="O327" i="5"/>
  <c r="P327" i="5"/>
  <c r="L328" i="5"/>
  <c r="O328" i="5" s="1"/>
  <c r="M328" i="5"/>
  <c r="P328" i="5" s="1"/>
  <c r="N328" i="5"/>
  <c r="N326" i="5" s="1"/>
  <c r="I330" i="5"/>
  <c r="I319" i="5" s="1"/>
  <c r="K319" i="5" s="1"/>
  <c r="L334" i="5"/>
  <c r="M334" i="5"/>
  <c r="P334" i="5" s="1"/>
  <c r="N334" i="5"/>
  <c r="O334" i="5"/>
  <c r="O337" i="5"/>
  <c r="P337" i="5"/>
  <c r="L338" i="5"/>
  <c r="L336" i="5" s="1"/>
  <c r="M338" i="5"/>
  <c r="M336" i="5" s="1"/>
  <c r="N338" i="5"/>
  <c r="N336" i="5" s="1"/>
  <c r="O340" i="5"/>
  <c r="P340" i="5"/>
  <c r="L341" i="5"/>
  <c r="L339" i="5" s="1"/>
  <c r="O339" i="5" s="1"/>
  <c r="M341" i="5"/>
  <c r="M339" i="5" s="1"/>
  <c r="P339" i="5" s="1"/>
  <c r="N341" i="5"/>
  <c r="N339" i="5" s="1"/>
  <c r="I344" i="5"/>
  <c r="I332" i="5" s="1"/>
  <c r="J344" i="5"/>
  <c r="I346" i="5"/>
  <c r="J346" i="5"/>
  <c r="J347" i="5"/>
  <c r="J348" i="5"/>
  <c r="J349" i="5"/>
  <c r="D350" i="5"/>
  <c r="J352" i="5"/>
  <c r="J353" i="5"/>
  <c r="D354" i="5"/>
  <c r="L357" i="5"/>
  <c r="O357" i="5" s="1"/>
  <c r="M357" i="5"/>
  <c r="N357" i="5"/>
  <c r="P357" i="5"/>
  <c r="O360" i="5"/>
  <c r="P360" i="5"/>
  <c r="L361" i="5"/>
  <c r="L359" i="5" s="1"/>
  <c r="M361" i="5"/>
  <c r="M359" i="5" s="1"/>
  <c r="N361" i="5"/>
  <c r="N359" i="5" s="1"/>
  <c r="O363" i="5"/>
  <c r="P363" i="5"/>
  <c r="L364" i="5"/>
  <c r="L362" i="5" s="1"/>
  <c r="O362" i="5" s="1"/>
  <c r="M364" i="5"/>
  <c r="M362" i="5" s="1"/>
  <c r="P362" i="5" s="1"/>
  <c r="N364" i="5"/>
  <c r="N362" i="5" s="1"/>
  <c r="J367" i="5"/>
  <c r="K367" i="5"/>
  <c r="I368" i="5"/>
  <c r="J368" i="5"/>
  <c r="I369" i="5"/>
  <c r="J369" i="5"/>
  <c r="J370" i="5"/>
  <c r="K370" i="5"/>
  <c r="I371" i="5"/>
  <c r="I365" i="5" s="1"/>
  <c r="J371" i="5"/>
  <c r="J365" i="5" s="1"/>
  <c r="J372" i="5"/>
  <c r="K372" i="5"/>
  <c r="D373" i="5"/>
  <c r="I376" i="5"/>
  <c r="K376" i="5" s="1"/>
  <c r="J376" i="5"/>
  <c r="L378" i="5"/>
  <c r="M378" i="5"/>
  <c r="P378" i="5" s="1"/>
  <c r="N378" i="5"/>
  <c r="O378" i="5"/>
  <c r="O381" i="5"/>
  <c r="P381" i="5"/>
  <c r="L382" i="5"/>
  <c r="L380" i="5" s="1"/>
  <c r="O380" i="5" s="1"/>
  <c r="M382" i="5"/>
  <c r="N382" i="5"/>
  <c r="N380" i="5" s="1"/>
  <c r="O384" i="5"/>
  <c r="P384" i="5"/>
  <c r="L385" i="5"/>
  <c r="L383" i="5" s="1"/>
  <c r="O383" i="5" s="1"/>
  <c r="M385" i="5"/>
  <c r="M383" i="5" s="1"/>
  <c r="P383" i="5" s="1"/>
  <c r="N385" i="5"/>
  <c r="N383" i="5" s="1"/>
  <c r="K387" i="5"/>
  <c r="K388" i="5"/>
  <c r="A391" i="5"/>
  <c r="L22" i="4"/>
  <c r="M22" i="4"/>
  <c r="P22" i="4" s="1"/>
  <c r="N22" i="4"/>
  <c r="L25" i="4"/>
  <c r="O25" i="4" s="1"/>
  <c r="M25" i="4"/>
  <c r="N25" i="4"/>
  <c r="L45" i="4"/>
  <c r="M45" i="4"/>
  <c r="P45" i="4" s="1"/>
  <c r="N45" i="4"/>
  <c r="O45" i="4"/>
  <c r="O48" i="4"/>
  <c r="P48" i="4"/>
  <c r="L49" i="4"/>
  <c r="M49" i="4"/>
  <c r="N49" i="4"/>
  <c r="N47" i="4" s="1"/>
  <c r="O51" i="4"/>
  <c r="P51" i="4"/>
  <c r="L52" i="4"/>
  <c r="M52" i="4"/>
  <c r="M50" i="4" s="1"/>
  <c r="P50" i="4" s="1"/>
  <c r="N52" i="4"/>
  <c r="N50" i="4" s="1"/>
  <c r="L60" i="4"/>
  <c r="M60" i="4"/>
  <c r="N60" i="4"/>
  <c r="P60" i="4"/>
  <c r="O63" i="4"/>
  <c r="P63" i="4"/>
  <c r="L64" i="4"/>
  <c r="M64" i="4"/>
  <c r="N64" i="4"/>
  <c r="O66" i="4"/>
  <c r="P66" i="4"/>
  <c r="L67" i="4"/>
  <c r="L65" i="4" s="1"/>
  <c r="O65" i="4" s="1"/>
  <c r="M67" i="4"/>
  <c r="N67" i="4"/>
  <c r="N65" i="4" s="1"/>
  <c r="J71" i="4"/>
  <c r="L73" i="4"/>
  <c r="O73" i="4" s="1"/>
  <c r="M73" i="4"/>
  <c r="N73" i="4"/>
  <c r="O76" i="4"/>
  <c r="P76" i="4"/>
  <c r="L77" i="4"/>
  <c r="M77" i="4"/>
  <c r="M75" i="4" s="1"/>
  <c r="P75" i="4" s="1"/>
  <c r="N77" i="4"/>
  <c r="N75" i="4" s="1"/>
  <c r="O79" i="4"/>
  <c r="P79" i="4"/>
  <c r="L80" i="4"/>
  <c r="M80" i="4"/>
  <c r="M78" i="4" s="1"/>
  <c r="P78" i="4" s="1"/>
  <c r="N80" i="4"/>
  <c r="J82" i="4"/>
  <c r="J70" i="4" s="1"/>
  <c r="J83" i="4"/>
  <c r="I84" i="4"/>
  <c r="K84" i="4" s="1"/>
  <c r="I85" i="4"/>
  <c r="I86" i="4"/>
  <c r="K86" i="4" s="1"/>
  <c r="I87" i="4"/>
  <c r="K87" i="4" s="1"/>
  <c r="I88" i="4"/>
  <c r="K88" i="4" s="1"/>
  <c r="I89" i="4"/>
  <c r="K89" i="4" s="1"/>
  <c r="I90" i="4"/>
  <c r="K90" i="4" s="1"/>
  <c r="J92" i="4"/>
  <c r="J93" i="4"/>
  <c r="L95" i="4"/>
  <c r="O95" i="4" s="1"/>
  <c r="M95" i="4"/>
  <c r="P95" i="4" s="1"/>
  <c r="N95" i="4"/>
  <c r="O98" i="4"/>
  <c r="P98" i="4"/>
  <c r="L99" i="4"/>
  <c r="M99" i="4"/>
  <c r="N99" i="4"/>
  <c r="O101" i="4"/>
  <c r="P101" i="4"/>
  <c r="L102" i="4"/>
  <c r="L100" i="4" s="1"/>
  <c r="O100" i="4" s="1"/>
  <c r="M102" i="4"/>
  <c r="N102" i="4"/>
  <c r="N100" i="4" s="1"/>
  <c r="I108" i="4"/>
  <c r="K108" i="4" s="1"/>
  <c r="I109" i="4"/>
  <c r="K109" i="4" s="1"/>
  <c r="I117" i="4"/>
  <c r="K117" i="4" s="1"/>
  <c r="L126" i="4"/>
  <c r="O126" i="4" s="1"/>
  <c r="M126" i="4"/>
  <c r="P126" i="4" s="1"/>
  <c r="N126" i="4"/>
  <c r="O129" i="4"/>
  <c r="P129" i="4"/>
  <c r="L130" i="4"/>
  <c r="O130" i="4" s="1"/>
  <c r="M130" i="4"/>
  <c r="N130" i="4"/>
  <c r="N128" i="4" s="1"/>
  <c r="O132" i="4"/>
  <c r="P132" i="4"/>
  <c r="L133" i="4"/>
  <c r="O133" i="4" s="1"/>
  <c r="M133" i="4"/>
  <c r="M131" i="4" s="1"/>
  <c r="P131" i="4" s="1"/>
  <c r="N133" i="4"/>
  <c r="N131" i="4" s="1"/>
  <c r="J136" i="4"/>
  <c r="J137" i="4"/>
  <c r="J138" i="4"/>
  <c r="L140" i="4"/>
  <c r="O140" i="4" s="1"/>
  <c r="M140" i="4"/>
  <c r="P140" i="4" s="1"/>
  <c r="N140" i="4"/>
  <c r="O143" i="4"/>
  <c r="P143" i="4"/>
  <c r="L144" i="4"/>
  <c r="M144" i="4"/>
  <c r="M142" i="4" s="1"/>
  <c r="N144" i="4"/>
  <c r="N142" i="4" s="1"/>
  <c r="O146" i="4"/>
  <c r="P146" i="4"/>
  <c r="L147" i="4"/>
  <c r="O147" i="4" s="1"/>
  <c r="M147" i="4"/>
  <c r="M145" i="4" s="1"/>
  <c r="P145" i="4" s="1"/>
  <c r="N147" i="4"/>
  <c r="N145" i="4" s="1"/>
  <c r="I150" i="4"/>
  <c r="K150" i="4" s="1"/>
  <c r="I151" i="4"/>
  <c r="K151" i="4" s="1"/>
  <c r="I152" i="4"/>
  <c r="I137" i="4" s="1"/>
  <c r="K137" i="4" s="1"/>
  <c r="I153" i="4"/>
  <c r="I138" i="4" s="1"/>
  <c r="K138" i="4" s="1"/>
  <c r="I154" i="4"/>
  <c r="I136" i="4" s="1"/>
  <c r="K136" i="4" s="1"/>
  <c r="J156" i="4"/>
  <c r="L158" i="4"/>
  <c r="M158" i="4"/>
  <c r="N158" i="4"/>
  <c r="O158" i="4"/>
  <c r="O161" i="4"/>
  <c r="P161" i="4"/>
  <c r="L162" i="4"/>
  <c r="O162" i="4" s="1"/>
  <c r="M162" i="4"/>
  <c r="M160" i="4" s="1"/>
  <c r="P160" i="4" s="1"/>
  <c r="N162" i="4"/>
  <c r="N160" i="4" s="1"/>
  <c r="O164" i="4"/>
  <c r="P164" i="4"/>
  <c r="L165" i="4"/>
  <c r="O165" i="4" s="1"/>
  <c r="M165" i="4"/>
  <c r="P165" i="4" s="1"/>
  <c r="N165" i="4"/>
  <c r="I167" i="4"/>
  <c r="K167" i="4" s="1"/>
  <c r="I168" i="4"/>
  <c r="K168" i="4" s="1"/>
  <c r="I169" i="4"/>
  <c r="I156" i="4" s="1"/>
  <c r="K156" i="4" s="1"/>
  <c r="J172" i="4"/>
  <c r="L174" i="4"/>
  <c r="O174" i="4" s="1"/>
  <c r="M174" i="4"/>
  <c r="N174" i="4"/>
  <c r="O177" i="4"/>
  <c r="P177" i="4"/>
  <c r="L178" i="4"/>
  <c r="M178" i="4"/>
  <c r="M176" i="4" s="1"/>
  <c r="N178" i="4"/>
  <c r="N176" i="4" s="1"/>
  <c r="O180" i="4"/>
  <c r="P180" i="4"/>
  <c r="L181" i="4"/>
  <c r="O181" i="4" s="1"/>
  <c r="M181" i="4"/>
  <c r="P181" i="4" s="1"/>
  <c r="N181" i="4"/>
  <c r="I183" i="4"/>
  <c r="I172" i="4" s="1"/>
  <c r="K184" i="4"/>
  <c r="L187" i="4"/>
  <c r="M187" i="4"/>
  <c r="N187" i="4"/>
  <c r="O190" i="4"/>
  <c r="P190" i="4"/>
  <c r="L191" i="4"/>
  <c r="L189" i="4" s="1"/>
  <c r="M191" i="4"/>
  <c r="M189" i="4" s="1"/>
  <c r="N191" i="4"/>
  <c r="N189" i="4" s="1"/>
  <c r="O193" i="4"/>
  <c r="P193" i="4"/>
  <c r="L194" i="4"/>
  <c r="L192" i="4" s="1"/>
  <c r="O192" i="4" s="1"/>
  <c r="M194" i="4"/>
  <c r="M192" i="4" s="1"/>
  <c r="P192" i="4" s="1"/>
  <c r="N194" i="4"/>
  <c r="N192" i="4" s="1"/>
  <c r="J195" i="4"/>
  <c r="L196" i="4"/>
  <c r="O196" i="4" s="1"/>
  <c r="P196" i="4"/>
  <c r="I198" i="4"/>
  <c r="K198" i="4" s="1"/>
  <c r="J199" i="4"/>
  <c r="J202" i="4"/>
  <c r="N203" i="4"/>
  <c r="P203" i="4"/>
  <c r="L204" i="4"/>
  <c r="L205" i="4"/>
  <c r="L206" i="4"/>
  <c r="L207" i="4"/>
  <c r="I209" i="4"/>
  <c r="I202" i="4" s="1"/>
  <c r="K202" i="4" s="1"/>
  <c r="I211" i="4"/>
  <c r="K211" i="4" s="1"/>
  <c r="I212" i="4"/>
  <c r="K212" i="4" s="1"/>
  <c r="J213" i="4"/>
  <c r="N214" i="4"/>
  <c r="P214" i="4"/>
  <c r="L215" i="4"/>
  <c r="L216" i="4"/>
  <c r="L217" i="4"/>
  <c r="I219" i="4"/>
  <c r="K219" i="4" s="1"/>
  <c r="I220" i="4"/>
  <c r="I213" i="4" s="1"/>
  <c r="K213" i="4" s="1"/>
  <c r="J221" i="4"/>
  <c r="N222" i="4"/>
  <c r="P222" i="4"/>
  <c r="L223" i="4"/>
  <c r="L224" i="4"/>
  <c r="L225" i="4"/>
  <c r="I228" i="4"/>
  <c r="K228" i="4" s="1"/>
  <c r="I229" i="4"/>
  <c r="I221" i="4" s="1"/>
  <c r="K221" i="4" s="1"/>
  <c r="I230" i="4"/>
  <c r="K230" i="4" s="1"/>
  <c r="N232" i="4"/>
  <c r="N233" i="4"/>
  <c r="N234" i="4"/>
  <c r="N235" i="4"/>
  <c r="N236" i="4"/>
  <c r="J238" i="4"/>
  <c r="I240" i="4"/>
  <c r="K240" i="4" s="1"/>
  <c r="J240" i="4"/>
  <c r="I241" i="4"/>
  <c r="K241" i="4" s="1"/>
  <c r="J241" i="4"/>
  <c r="J242" i="4"/>
  <c r="J231" i="4" s="1"/>
  <c r="J185" i="4" s="1"/>
  <c r="N243" i="4"/>
  <c r="P243" i="4"/>
  <c r="L244" i="4"/>
  <c r="L245" i="4"/>
  <c r="L246" i="4"/>
  <c r="L247" i="4"/>
  <c r="I249" i="4"/>
  <c r="K251" i="4"/>
  <c r="K252" i="4"/>
  <c r="J253" i="4"/>
  <c r="N254" i="4"/>
  <c r="P254" i="4"/>
  <c r="L255" i="4"/>
  <c r="L256" i="4"/>
  <c r="L257" i="4"/>
  <c r="L258" i="4"/>
  <c r="I260" i="4"/>
  <c r="I253" i="4" s="1"/>
  <c r="K253" i="4" s="1"/>
  <c r="K262" i="4"/>
  <c r="K263" i="4"/>
  <c r="I265" i="4"/>
  <c r="J265" i="4"/>
  <c r="K265" i="4"/>
  <c r="L267" i="4"/>
  <c r="M267" i="4"/>
  <c r="N267" i="4"/>
  <c r="O270" i="4"/>
  <c r="P270" i="4"/>
  <c r="L271" i="4"/>
  <c r="O271" i="4" s="1"/>
  <c r="M271" i="4"/>
  <c r="M269" i="4" s="1"/>
  <c r="P269" i="4" s="1"/>
  <c r="N271" i="4"/>
  <c r="N269" i="4" s="1"/>
  <c r="O273" i="4"/>
  <c r="P273" i="4"/>
  <c r="L274" i="4"/>
  <c r="L272" i="4" s="1"/>
  <c r="O272" i="4" s="1"/>
  <c r="M274" i="4"/>
  <c r="M272" i="4" s="1"/>
  <c r="P272" i="4" s="1"/>
  <c r="N274" i="4"/>
  <c r="N272" i="4" s="1"/>
  <c r="J281" i="4"/>
  <c r="L283" i="4"/>
  <c r="O283" i="4" s="1"/>
  <c r="M283" i="4"/>
  <c r="N283" i="4"/>
  <c r="O286" i="4"/>
  <c r="P286" i="4"/>
  <c r="L287" i="4"/>
  <c r="O287" i="4" s="1"/>
  <c r="M287" i="4"/>
  <c r="M285" i="4" s="1"/>
  <c r="P285" i="4" s="1"/>
  <c r="N287" i="4"/>
  <c r="N285" i="4" s="1"/>
  <c r="O289" i="4"/>
  <c r="P289" i="4"/>
  <c r="L290" i="4"/>
  <c r="O290" i="4" s="1"/>
  <c r="M290" i="4"/>
  <c r="P290" i="4" s="1"/>
  <c r="N290" i="4"/>
  <c r="N288" i="4" s="1"/>
  <c r="I292" i="4"/>
  <c r="I281" i="4" s="1"/>
  <c r="K281" i="4" s="1"/>
  <c r="I293" i="4"/>
  <c r="K293" i="4" s="1"/>
  <c r="J293" i="4"/>
  <c r="J280" i="4" s="1"/>
  <c r="I295" i="4"/>
  <c r="K295" i="4" s="1"/>
  <c r="I296" i="4"/>
  <c r="K296" i="4" s="1"/>
  <c r="J302" i="4"/>
  <c r="L304" i="4"/>
  <c r="M304" i="4"/>
  <c r="N304" i="4"/>
  <c r="O307" i="4"/>
  <c r="P307" i="4"/>
  <c r="L308" i="4"/>
  <c r="L306" i="4" s="1"/>
  <c r="O306" i="4" s="1"/>
  <c r="M308" i="4"/>
  <c r="M306" i="4" s="1"/>
  <c r="P306" i="4" s="1"/>
  <c r="N308" i="4"/>
  <c r="N306" i="4" s="1"/>
  <c r="O310" i="4"/>
  <c r="P310" i="4"/>
  <c r="L311" i="4"/>
  <c r="O311" i="4" s="1"/>
  <c r="M311" i="4"/>
  <c r="M309" i="4" s="1"/>
  <c r="P309" i="4" s="1"/>
  <c r="N311" i="4"/>
  <c r="N309" i="4" s="1"/>
  <c r="I314" i="4"/>
  <c r="K314" i="4" s="1"/>
  <c r="I315" i="4"/>
  <c r="K315" i="4" s="1"/>
  <c r="I316" i="4"/>
  <c r="K316" i="4" s="1"/>
  <c r="I317" i="4"/>
  <c r="K317" i="4" s="1"/>
  <c r="J319" i="4"/>
  <c r="L321" i="4"/>
  <c r="O321" i="4" s="1"/>
  <c r="M321" i="4"/>
  <c r="P321" i="4" s="1"/>
  <c r="N321" i="4"/>
  <c r="O324" i="4"/>
  <c r="P324" i="4"/>
  <c r="L325" i="4"/>
  <c r="O325" i="4" s="1"/>
  <c r="M325" i="4"/>
  <c r="P325" i="4" s="1"/>
  <c r="N325" i="4"/>
  <c r="O327" i="4"/>
  <c r="P327" i="4"/>
  <c r="L328" i="4"/>
  <c r="O328" i="4" s="1"/>
  <c r="M328" i="4"/>
  <c r="P328" i="4" s="1"/>
  <c r="N328" i="4"/>
  <c r="N326" i="4" s="1"/>
  <c r="I330" i="4"/>
  <c r="K330" i="4" s="1"/>
  <c r="L334" i="4"/>
  <c r="O334" i="4" s="1"/>
  <c r="M334" i="4"/>
  <c r="N334" i="4"/>
  <c r="P334" i="4"/>
  <c r="O337" i="4"/>
  <c r="P337" i="4"/>
  <c r="L338" i="4"/>
  <c r="M338" i="4"/>
  <c r="N338" i="4"/>
  <c r="O340" i="4"/>
  <c r="P340" i="4"/>
  <c r="L341" i="4"/>
  <c r="O341" i="4" s="1"/>
  <c r="M341" i="4"/>
  <c r="M339" i="4" s="1"/>
  <c r="P339" i="4" s="1"/>
  <c r="N341" i="4"/>
  <c r="N339" i="4" s="1"/>
  <c r="I344" i="4"/>
  <c r="J344" i="4"/>
  <c r="I346" i="4"/>
  <c r="J346" i="4"/>
  <c r="J347" i="4"/>
  <c r="J348" i="4"/>
  <c r="J349" i="4"/>
  <c r="D350" i="4"/>
  <c r="J352" i="4"/>
  <c r="J353" i="4"/>
  <c r="D354" i="4"/>
  <c r="L357" i="4"/>
  <c r="M357" i="4"/>
  <c r="P357" i="4" s="1"/>
  <c r="N357" i="4"/>
  <c r="O357" i="4"/>
  <c r="O360" i="4"/>
  <c r="P360" i="4"/>
  <c r="L361" i="4"/>
  <c r="M361" i="4"/>
  <c r="N361" i="4"/>
  <c r="N359" i="4" s="1"/>
  <c r="O363" i="4"/>
  <c r="P363" i="4"/>
  <c r="L364" i="4"/>
  <c r="O364" i="4" s="1"/>
  <c r="M364" i="4"/>
  <c r="M362" i="4" s="1"/>
  <c r="P362" i="4" s="1"/>
  <c r="N364" i="4"/>
  <c r="N362" i="4" s="1"/>
  <c r="J367" i="4"/>
  <c r="K367" i="4"/>
  <c r="I368" i="4"/>
  <c r="J368" i="4"/>
  <c r="I369" i="4"/>
  <c r="J369" i="4"/>
  <c r="J370" i="4"/>
  <c r="K370" i="4"/>
  <c r="I371" i="4"/>
  <c r="J371" i="4"/>
  <c r="J365" i="4" s="1"/>
  <c r="J372" i="4"/>
  <c r="K372" i="4"/>
  <c r="D373" i="4"/>
  <c r="I376" i="4"/>
  <c r="K376" i="4" s="1"/>
  <c r="J376" i="4"/>
  <c r="L378" i="4"/>
  <c r="O378" i="4" s="1"/>
  <c r="M378" i="4"/>
  <c r="N378" i="4"/>
  <c r="P378" i="4"/>
  <c r="O381" i="4"/>
  <c r="P381" i="4"/>
  <c r="L382" i="4"/>
  <c r="M382" i="4"/>
  <c r="P382" i="4" s="1"/>
  <c r="N382" i="4"/>
  <c r="N380" i="4" s="1"/>
  <c r="O384" i="4"/>
  <c r="P384" i="4"/>
  <c r="L385" i="4"/>
  <c r="O385" i="4" s="1"/>
  <c r="M385" i="4"/>
  <c r="M383" i="4" s="1"/>
  <c r="P383" i="4" s="1"/>
  <c r="N385" i="4"/>
  <c r="N383" i="4" s="1"/>
  <c r="K387" i="4"/>
  <c r="K388" i="4"/>
  <c r="A391" i="4"/>
  <c r="L22" i="3"/>
  <c r="M22" i="3"/>
  <c r="N22" i="3"/>
  <c r="L25" i="3"/>
  <c r="M25" i="3"/>
  <c r="P25" i="3" s="1"/>
  <c r="N25" i="3"/>
  <c r="O25" i="3"/>
  <c r="L45" i="3"/>
  <c r="O45" i="3" s="1"/>
  <c r="M45" i="3"/>
  <c r="P45" i="3" s="1"/>
  <c r="N45" i="3"/>
  <c r="O48" i="3"/>
  <c r="P48" i="3"/>
  <c r="L49" i="3"/>
  <c r="L47" i="3" s="1"/>
  <c r="M49" i="3"/>
  <c r="N49" i="3"/>
  <c r="N47" i="3" s="1"/>
  <c r="O51" i="3"/>
  <c r="P51" i="3"/>
  <c r="L52" i="3"/>
  <c r="L50" i="3" s="1"/>
  <c r="O50" i="3" s="1"/>
  <c r="M52" i="3"/>
  <c r="M50" i="3" s="1"/>
  <c r="P50" i="3" s="1"/>
  <c r="N52" i="3"/>
  <c r="L60" i="3"/>
  <c r="M60" i="3"/>
  <c r="N60" i="3"/>
  <c r="P60" i="3"/>
  <c r="O63" i="3"/>
  <c r="P63" i="3"/>
  <c r="L64" i="3"/>
  <c r="M64" i="3"/>
  <c r="N64" i="3"/>
  <c r="N62" i="3" s="1"/>
  <c r="O66" i="3"/>
  <c r="P66" i="3"/>
  <c r="L67" i="3"/>
  <c r="O67" i="3" s="1"/>
  <c r="M67" i="3"/>
  <c r="M65" i="3" s="1"/>
  <c r="P65" i="3" s="1"/>
  <c r="N67" i="3"/>
  <c r="N65" i="3" s="1"/>
  <c r="L73" i="3"/>
  <c r="M73" i="3"/>
  <c r="P73" i="3" s="1"/>
  <c r="N73" i="3"/>
  <c r="O73" i="3"/>
  <c r="O76" i="3"/>
  <c r="P76" i="3"/>
  <c r="L77" i="3"/>
  <c r="L75" i="3" s="1"/>
  <c r="O75" i="3" s="1"/>
  <c r="M77" i="3"/>
  <c r="M75" i="3" s="1"/>
  <c r="P75" i="3" s="1"/>
  <c r="N77" i="3"/>
  <c r="N75" i="3" s="1"/>
  <c r="O79" i="3"/>
  <c r="P79" i="3"/>
  <c r="L80" i="3"/>
  <c r="L78" i="3" s="1"/>
  <c r="O78" i="3" s="1"/>
  <c r="M80" i="3"/>
  <c r="M78" i="3" s="1"/>
  <c r="P78" i="3" s="1"/>
  <c r="N80" i="3"/>
  <c r="N78" i="3" s="1"/>
  <c r="J82" i="3"/>
  <c r="J70" i="3" s="1"/>
  <c r="J83" i="3"/>
  <c r="J71" i="3" s="1"/>
  <c r="I84" i="3"/>
  <c r="K84" i="3" s="1"/>
  <c r="I85" i="3"/>
  <c r="K85" i="3" s="1"/>
  <c r="I86" i="3"/>
  <c r="K86" i="3" s="1"/>
  <c r="I87" i="3"/>
  <c r="K87" i="3" s="1"/>
  <c r="I88" i="3"/>
  <c r="K88" i="3" s="1"/>
  <c r="I89" i="3"/>
  <c r="K89" i="3" s="1"/>
  <c r="I90" i="3"/>
  <c r="K90" i="3" s="1"/>
  <c r="J92" i="3"/>
  <c r="J93" i="3"/>
  <c r="L95" i="3"/>
  <c r="O95" i="3" s="1"/>
  <c r="M95" i="3"/>
  <c r="N95" i="3"/>
  <c r="P95" i="3"/>
  <c r="O98" i="3"/>
  <c r="P98" i="3"/>
  <c r="L99" i="3"/>
  <c r="M99" i="3"/>
  <c r="M97" i="3" s="1"/>
  <c r="P97" i="3" s="1"/>
  <c r="N99" i="3"/>
  <c r="O101" i="3"/>
  <c r="P101" i="3"/>
  <c r="L102" i="3"/>
  <c r="L100" i="3" s="1"/>
  <c r="O100" i="3" s="1"/>
  <c r="M102" i="3"/>
  <c r="M100" i="3" s="1"/>
  <c r="P100" i="3" s="1"/>
  <c r="N102" i="3"/>
  <c r="N100" i="3" s="1"/>
  <c r="I108" i="3"/>
  <c r="I109" i="3"/>
  <c r="K109" i="3" s="1"/>
  <c r="I117" i="3"/>
  <c r="K117" i="3" s="1"/>
  <c r="L126" i="3"/>
  <c r="O126" i="3" s="1"/>
  <c r="M126" i="3"/>
  <c r="N126" i="3"/>
  <c r="O129" i="3"/>
  <c r="P129" i="3"/>
  <c r="L130" i="3"/>
  <c r="M130" i="3"/>
  <c r="P130" i="3" s="1"/>
  <c r="N130" i="3"/>
  <c r="N128" i="3" s="1"/>
  <c r="O132" i="3"/>
  <c r="P132" i="3"/>
  <c r="L133" i="3"/>
  <c r="M133" i="3"/>
  <c r="P133" i="3" s="1"/>
  <c r="N133" i="3"/>
  <c r="N131" i="3" s="1"/>
  <c r="J136" i="3"/>
  <c r="J137" i="3"/>
  <c r="J138" i="3"/>
  <c r="L140" i="3"/>
  <c r="O140" i="3" s="1"/>
  <c r="M140" i="3"/>
  <c r="N140" i="3"/>
  <c r="O143" i="3"/>
  <c r="P143" i="3"/>
  <c r="L144" i="3"/>
  <c r="M144" i="3"/>
  <c r="N144" i="3"/>
  <c r="N142" i="3" s="1"/>
  <c r="O146" i="3"/>
  <c r="P146" i="3"/>
  <c r="L147" i="3"/>
  <c r="M147" i="3"/>
  <c r="P147" i="3" s="1"/>
  <c r="N147" i="3"/>
  <c r="N145" i="3" s="1"/>
  <c r="I150" i="3"/>
  <c r="K150" i="3" s="1"/>
  <c r="I151" i="3"/>
  <c r="K151" i="3" s="1"/>
  <c r="I152" i="3"/>
  <c r="I137" i="3" s="1"/>
  <c r="K137" i="3" s="1"/>
  <c r="I153" i="3"/>
  <c r="I138" i="3" s="1"/>
  <c r="K138" i="3" s="1"/>
  <c r="I154" i="3"/>
  <c r="I136" i="3" s="1"/>
  <c r="K136" i="3" s="1"/>
  <c r="J156" i="3"/>
  <c r="L158" i="3"/>
  <c r="M158" i="3"/>
  <c r="P158" i="3" s="1"/>
  <c r="N158" i="3"/>
  <c r="O158" i="3"/>
  <c r="O161" i="3"/>
  <c r="P161" i="3"/>
  <c r="L162" i="3"/>
  <c r="L160" i="3" s="1"/>
  <c r="O160" i="3" s="1"/>
  <c r="M162" i="3"/>
  <c r="P162" i="3" s="1"/>
  <c r="N162" i="3"/>
  <c r="N160" i="3" s="1"/>
  <c r="O164" i="3"/>
  <c r="P164" i="3"/>
  <c r="L165" i="3"/>
  <c r="L163" i="3" s="1"/>
  <c r="O163" i="3" s="1"/>
  <c r="M165" i="3"/>
  <c r="M163" i="3" s="1"/>
  <c r="P163" i="3" s="1"/>
  <c r="N165" i="3"/>
  <c r="N163" i="3" s="1"/>
  <c r="I167" i="3"/>
  <c r="K167" i="3" s="1"/>
  <c r="I168" i="3"/>
  <c r="K168" i="3" s="1"/>
  <c r="I169" i="3"/>
  <c r="I156" i="3" s="1"/>
  <c r="K156" i="3" s="1"/>
  <c r="J172" i="3"/>
  <c r="L174" i="3"/>
  <c r="O174" i="3" s="1"/>
  <c r="M174" i="3"/>
  <c r="P174" i="3" s="1"/>
  <c r="N174" i="3"/>
  <c r="O177" i="3"/>
  <c r="P177" i="3"/>
  <c r="L178" i="3"/>
  <c r="L176" i="3" s="1"/>
  <c r="M178" i="3"/>
  <c r="N178" i="3"/>
  <c r="N176" i="3" s="1"/>
  <c r="O180" i="3"/>
  <c r="P180" i="3"/>
  <c r="L181" i="3"/>
  <c r="L179" i="3" s="1"/>
  <c r="O179" i="3" s="1"/>
  <c r="M181" i="3"/>
  <c r="M179" i="3" s="1"/>
  <c r="P179" i="3" s="1"/>
  <c r="N181" i="3"/>
  <c r="N179" i="3" s="1"/>
  <c r="I183" i="3"/>
  <c r="I172" i="3" s="1"/>
  <c r="K172" i="3" s="1"/>
  <c r="K184" i="3"/>
  <c r="L187" i="3"/>
  <c r="M187" i="3"/>
  <c r="N187" i="3"/>
  <c r="P187" i="3"/>
  <c r="O190" i="3"/>
  <c r="P190" i="3"/>
  <c r="L191" i="3"/>
  <c r="M191" i="3"/>
  <c r="N191" i="3"/>
  <c r="N189" i="3" s="1"/>
  <c r="O193" i="3"/>
  <c r="P193" i="3"/>
  <c r="L194" i="3"/>
  <c r="O194" i="3" s="1"/>
  <c r="M194" i="3"/>
  <c r="P194" i="3" s="1"/>
  <c r="N194" i="3"/>
  <c r="N192" i="3" s="1"/>
  <c r="J195" i="3"/>
  <c r="L196" i="3"/>
  <c r="O196" i="3" s="1"/>
  <c r="P196" i="3"/>
  <c r="I198" i="3"/>
  <c r="I195" i="3" s="1"/>
  <c r="J199" i="3"/>
  <c r="J202" i="3"/>
  <c r="N203" i="3"/>
  <c r="P203" i="3"/>
  <c r="L204" i="3"/>
  <c r="L205" i="3"/>
  <c r="L206" i="3"/>
  <c r="L207" i="3"/>
  <c r="I209" i="3"/>
  <c r="I211" i="3"/>
  <c r="K211" i="3" s="1"/>
  <c r="I212" i="3"/>
  <c r="K212" i="3" s="1"/>
  <c r="J213" i="3"/>
  <c r="N214" i="3"/>
  <c r="P214" i="3"/>
  <c r="L215" i="3"/>
  <c r="L216" i="3"/>
  <c r="L217" i="3"/>
  <c r="I219" i="3"/>
  <c r="K219" i="3" s="1"/>
  <c r="I220" i="3"/>
  <c r="K220" i="3" s="1"/>
  <c r="J221" i="3"/>
  <c r="N222" i="3"/>
  <c r="P222" i="3"/>
  <c r="L223" i="3"/>
  <c r="L224" i="3"/>
  <c r="L225" i="3"/>
  <c r="I228" i="3"/>
  <c r="K228" i="3" s="1"/>
  <c r="I229" i="3"/>
  <c r="I221" i="3" s="1"/>
  <c r="K221" i="3" s="1"/>
  <c r="I230" i="3"/>
  <c r="K230" i="3" s="1"/>
  <c r="N232" i="3"/>
  <c r="N233" i="3"/>
  <c r="N234" i="3"/>
  <c r="N235" i="3"/>
  <c r="N236" i="3"/>
  <c r="J238" i="3"/>
  <c r="I240" i="3"/>
  <c r="K240" i="3" s="1"/>
  <c r="J240" i="3"/>
  <c r="I241" i="3"/>
  <c r="K241" i="3" s="1"/>
  <c r="J241" i="3"/>
  <c r="J242" i="3"/>
  <c r="N243" i="3"/>
  <c r="P243" i="3"/>
  <c r="L244" i="3"/>
  <c r="L245" i="3"/>
  <c r="L246" i="3"/>
  <c r="L247" i="3"/>
  <c r="I249" i="3"/>
  <c r="K249" i="3" s="1"/>
  <c r="K251" i="3"/>
  <c r="K252" i="3"/>
  <c r="J253" i="3"/>
  <c r="N254" i="3"/>
  <c r="P254" i="3"/>
  <c r="L255" i="3"/>
  <c r="L256" i="3"/>
  <c r="L257" i="3"/>
  <c r="L258" i="3"/>
  <c r="I260" i="3"/>
  <c r="K260" i="3" s="1"/>
  <c r="K262" i="3"/>
  <c r="K263" i="3"/>
  <c r="I265" i="3"/>
  <c r="K265" i="3" s="1"/>
  <c r="J265" i="3"/>
  <c r="L267" i="3"/>
  <c r="O267" i="3" s="1"/>
  <c r="M267" i="3"/>
  <c r="P267" i="3" s="1"/>
  <c r="N267" i="3"/>
  <c r="O270" i="3"/>
  <c r="P270" i="3"/>
  <c r="L271" i="3"/>
  <c r="O271" i="3" s="1"/>
  <c r="M271" i="3"/>
  <c r="P271" i="3" s="1"/>
  <c r="N271" i="3"/>
  <c r="N269" i="3" s="1"/>
  <c r="O273" i="3"/>
  <c r="P273" i="3"/>
  <c r="L274" i="3"/>
  <c r="O274" i="3" s="1"/>
  <c r="M274" i="3"/>
  <c r="P274" i="3" s="1"/>
  <c r="N274" i="3"/>
  <c r="J281" i="3"/>
  <c r="L283" i="3"/>
  <c r="O283" i="3" s="1"/>
  <c r="M283" i="3"/>
  <c r="N283" i="3"/>
  <c r="O286" i="3"/>
  <c r="P286" i="3"/>
  <c r="L287" i="3"/>
  <c r="M287" i="3"/>
  <c r="N287" i="3"/>
  <c r="N285" i="3" s="1"/>
  <c r="O289" i="3"/>
  <c r="P289" i="3"/>
  <c r="L290" i="3"/>
  <c r="L288" i="3" s="1"/>
  <c r="O288" i="3" s="1"/>
  <c r="M290" i="3"/>
  <c r="M288" i="3" s="1"/>
  <c r="P288" i="3" s="1"/>
  <c r="N290" i="3"/>
  <c r="N288" i="3" s="1"/>
  <c r="I292" i="3"/>
  <c r="I281" i="3" s="1"/>
  <c r="K281" i="3" s="1"/>
  <c r="I293" i="3"/>
  <c r="I280" i="3" s="1"/>
  <c r="K280" i="3" s="1"/>
  <c r="J293" i="3"/>
  <c r="J280" i="3" s="1"/>
  <c r="I295" i="3"/>
  <c r="K295" i="3" s="1"/>
  <c r="I296" i="3"/>
  <c r="K296" i="3" s="1"/>
  <c r="J302" i="3"/>
  <c r="L304" i="3"/>
  <c r="O304" i="3" s="1"/>
  <c r="M304" i="3"/>
  <c r="N304" i="3"/>
  <c r="O307" i="3"/>
  <c r="P307" i="3"/>
  <c r="L308" i="3"/>
  <c r="L306" i="3" s="1"/>
  <c r="O306" i="3" s="1"/>
  <c r="M308" i="3"/>
  <c r="P308" i="3" s="1"/>
  <c r="N308" i="3"/>
  <c r="N306" i="3" s="1"/>
  <c r="O310" i="3"/>
  <c r="P310" i="3"/>
  <c r="L311" i="3"/>
  <c r="O311" i="3" s="1"/>
  <c r="M311" i="3"/>
  <c r="P311" i="3" s="1"/>
  <c r="N311" i="3"/>
  <c r="N309" i="3" s="1"/>
  <c r="I314" i="3"/>
  <c r="K314" i="3" s="1"/>
  <c r="I315" i="3"/>
  <c r="K315" i="3" s="1"/>
  <c r="I316" i="3"/>
  <c r="K316" i="3" s="1"/>
  <c r="I317" i="3"/>
  <c r="K317" i="3" s="1"/>
  <c r="J319" i="3"/>
  <c r="L321" i="3"/>
  <c r="O321" i="3" s="1"/>
  <c r="M321" i="3"/>
  <c r="N321" i="3"/>
  <c r="P321" i="3"/>
  <c r="O324" i="3"/>
  <c r="P324" i="3"/>
  <c r="L325" i="3"/>
  <c r="L323" i="3" s="1"/>
  <c r="O323" i="3" s="1"/>
  <c r="M325" i="3"/>
  <c r="M323" i="3" s="1"/>
  <c r="P323" i="3" s="1"/>
  <c r="N325" i="3"/>
  <c r="O327" i="3"/>
  <c r="P327" i="3"/>
  <c r="L328" i="3"/>
  <c r="L326" i="3" s="1"/>
  <c r="O326" i="3" s="1"/>
  <c r="M328" i="3"/>
  <c r="M326" i="3" s="1"/>
  <c r="P326" i="3" s="1"/>
  <c r="N328" i="3"/>
  <c r="N326" i="3" s="1"/>
  <c r="I330" i="3"/>
  <c r="I319" i="3" s="1"/>
  <c r="K319" i="3" s="1"/>
  <c r="L334" i="3"/>
  <c r="M334" i="3"/>
  <c r="P334" i="3" s="1"/>
  <c r="N334" i="3"/>
  <c r="O337" i="3"/>
  <c r="P337" i="3"/>
  <c r="L338" i="3"/>
  <c r="M338" i="3"/>
  <c r="M336" i="3" s="1"/>
  <c r="N338" i="3"/>
  <c r="N336" i="3" s="1"/>
  <c r="O340" i="3"/>
  <c r="P340" i="3"/>
  <c r="L341" i="3"/>
  <c r="L339" i="3" s="1"/>
  <c r="O339" i="3" s="1"/>
  <c r="M341" i="3"/>
  <c r="M339" i="3" s="1"/>
  <c r="P339" i="3" s="1"/>
  <c r="N341" i="3"/>
  <c r="N339" i="3" s="1"/>
  <c r="I344" i="3"/>
  <c r="I332" i="3" s="1"/>
  <c r="J344" i="3"/>
  <c r="I346" i="3"/>
  <c r="J346" i="3"/>
  <c r="J347" i="3"/>
  <c r="J348" i="3"/>
  <c r="J349" i="3"/>
  <c r="D350" i="3"/>
  <c r="J352" i="3"/>
  <c r="J353" i="3"/>
  <c r="D354" i="3"/>
  <c r="L357" i="3"/>
  <c r="O357" i="3" s="1"/>
  <c r="M357" i="3"/>
  <c r="P357" i="3" s="1"/>
  <c r="N357" i="3"/>
  <c r="O360" i="3"/>
  <c r="P360" i="3"/>
  <c r="L361" i="3"/>
  <c r="L359" i="3" s="1"/>
  <c r="M361" i="3"/>
  <c r="N361" i="3"/>
  <c r="N359" i="3" s="1"/>
  <c r="O363" i="3"/>
  <c r="P363" i="3"/>
  <c r="L364" i="3"/>
  <c r="L362" i="3" s="1"/>
  <c r="O362" i="3" s="1"/>
  <c r="M364" i="3"/>
  <c r="M362" i="3" s="1"/>
  <c r="P362" i="3" s="1"/>
  <c r="N364" i="3"/>
  <c r="N362" i="3" s="1"/>
  <c r="J367" i="3"/>
  <c r="K367" i="3"/>
  <c r="I368" i="3"/>
  <c r="J368" i="3"/>
  <c r="I369" i="3"/>
  <c r="J369" i="3"/>
  <c r="J370" i="3"/>
  <c r="K370" i="3"/>
  <c r="I371" i="3"/>
  <c r="I365" i="3" s="1"/>
  <c r="J371" i="3"/>
  <c r="J372" i="3"/>
  <c r="K372" i="3"/>
  <c r="D373" i="3"/>
  <c r="I376" i="3"/>
  <c r="J376" i="3"/>
  <c r="K376" i="3"/>
  <c r="L378" i="3"/>
  <c r="O378" i="3" s="1"/>
  <c r="M378" i="3"/>
  <c r="P378" i="3" s="1"/>
  <c r="N378" i="3"/>
  <c r="O381" i="3"/>
  <c r="P381" i="3"/>
  <c r="L382" i="3"/>
  <c r="M382" i="3"/>
  <c r="M380" i="3" s="1"/>
  <c r="P380" i="3" s="1"/>
  <c r="N382" i="3"/>
  <c r="N380" i="3" s="1"/>
  <c r="O384" i="3"/>
  <c r="P384" i="3"/>
  <c r="L385" i="3"/>
  <c r="L383" i="3" s="1"/>
  <c r="O383" i="3" s="1"/>
  <c r="M385" i="3"/>
  <c r="P385" i="3" s="1"/>
  <c r="N385" i="3"/>
  <c r="N383" i="3" s="1"/>
  <c r="K387" i="3"/>
  <c r="K388" i="3"/>
  <c r="A391" i="3"/>
  <c r="L22" i="2"/>
  <c r="O22" i="2" s="1"/>
  <c r="M22" i="2"/>
  <c r="P22" i="2" s="1"/>
  <c r="N22" i="2"/>
  <c r="L25" i="2"/>
  <c r="M25" i="2"/>
  <c r="N25" i="2"/>
  <c r="L45" i="2"/>
  <c r="M45" i="2"/>
  <c r="N45" i="2"/>
  <c r="O45" i="2"/>
  <c r="P45" i="2"/>
  <c r="O48" i="2"/>
  <c r="P48" i="2"/>
  <c r="L49" i="2"/>
  <c r="M49" i="2"/>
  <c r="M47" i="2" s="1"/>
  <c r="N49" i="2"/>
  <c r="N47" i="2" s="1"/>
  <c r="O51" i="2"/>
  <c r="P51" i="2"/>
  <c r="L52" i="2"/>
  <c r="O52" i="2" s="1"/>
  <c r="M52" i="2"/>
  <c r="M50" i="2" s="1"/>
  <c r="P50" i="2" s="1"/>
  <c r="N52" i="2"/>
  <c r="N50" i="2" s="1"/>
  <c r="L60" i="2"/>
  <c r="O60" i="2" s="1"/>
  <c r="M60" i="2"/>
  <c r="N60" i="2"/>
  <c r="O63" i="2"/>
  <c r="P63" i="2"/>
  <c r="L64" i="2"/>
  <c r="L62" i="2" s="1"/>
  <c r="M64" i="2"/>
  <c r="N64" i="2"/>
  <c r="O66" i="2"/>
  <c r="P66" i="2"/>
  <c r="L67" i="2"/>
  <c r="L65" i="2" s="1"/>
  <c r="O65" i="2" s="1"/>
  <c r="M67" i="2"/>
  <c r="N67" i="2"/>
  <c r="L73" i="2"/>
  <c r="O73" i="2" s="1"/>
  <c r="M73" i="2"/>
  <c r="P73" i="2" s="1"/>
  <c r="N73" i="2"/>
  <c r="O76" i="2"/>
  <c r="P76" i="2"/>
  <c r="L77" i="2"/>
  <c r="L75" i="2" s="1"/>
  <c r="O75" i="2" s="1"/>
  <c r="M77" i="2"/>
  <c r="M75" i="2" s="1"/>
  <c r="P75" i="2" s="1"/>
  <c r="N77" i="2"/>
  <c r="N75" i="2" s="1"/>
  <c r="O79" i="2"/>
  <c r="P79" i="2"/>
  <c r="L80" i="2"/>
  <c r="O80" i="2" s="1"/>
  <c r="M80" i="2"/>
  <c r="M78" i="2" s="1"/>
  <c r="P78" i="2" s="1"/>
  <c r="N80" i="2"/>
  <c r="N78" i="2" s="1"/>
  <c r="J82" i="2"/>
  <c r="J70" i="2" s="1"/>
  <c r="J83" i="2"/>
  <c r="J71" i="2" s="1"/>
  <c r="I84" i="2"/>
  <c r="K84" i="2" s="1"/>
  <c r="I85" i="2"/>
  <c r="I86" i="2"/>
  <c r="K86" i="2" s="1"/>
  <c r="I87" i="2"/>
  <c r="K87" i="2" s="1"/>
  <c r="I88" i="2"/>
  <c r="K88" i="2" s="1"/>
  <c r="I89" i="2"/>
  <c r="K89" i="2" s="1"/>
  <c r="I90" i="2"/>
  <c r="K90" i="2" s="1"/>
  <c r="J92" i="2"/>
  <c r="J93" i="2"/>
  <c r="L95" i="2"/>
  <c r="O95" i="2" s="1"/>
  <c r="M95" i="2"/>
  <c r="P95" i="2" s="1"/>
  <c r="N95" i="2"/>
  <c r="O98" i="2"/>
  <c r="P98" i="2"/>
  <c r="L99" i="2"/>
  <c r="O99" i="2" s="1"/>
  <c r="M99" i="2"/>
  <c r="N99" i="2"/>
  <c r="N97" i="2" s="1"/>
  <c r="O101" i="2"/>
  <c r="P101" i="2"/>
  <c r="L102" i="2"/>
  <c r="O102" i="2" s="1"/>
  <c r="M102" i="2"/>
  <c r="P102" i="2" s="1"/>
  <c r="N102" i="2"/>
  <c r="N100" i="2" s="1"/>
  <c r="I108" i="2"/>
  <c r="I92" i="2" s="1"/>
  <c r="K92" i="2" s="1"/>
  <c r="I109" i="2"/>
  <c r="K109" i="2" s="1"/>
  <c r="I117" i="2"/>
  <c r="K117" i="2" s="1"/>
  <c r="L126" i="2"/>
  <c r="M126" i="2"/>
  <c r="P126" i="2" s="1"/>
  <c r="N126" i="2"/>
  <c r="O126" i="2"/>
  <c r="O129" i="2"/>
  <c r="P129" i="2"/>
  <c r="L130" i="2"/>
  <c r="M130" i="2"/>
  <c r="M128" i="2" s="1"/>
  <c r="P128" i="2" s="1"/>
  <c r="N130" i="2"/>
  <c r="N128" i="2" s="1"/>
  <c r="O132" i="2"/>
  <c r="P132" i="2"/>
  <c r="L133" i="2"/>
  <c r="L131" i="2" s="1"/>
  <c r="O131" i="2" s="1"/>
  <c r="M133" i="2"/>
  <c r="M131" i="2" s="1"/>
  <c r="P131" i="2" s="1"/>
  <c r="N133" i="2"/>
  <c r="N131" i="2" s="1"/>
  <c r="J136" i="2"/>
  <c r="J137" i="2"/>
  <c r="J138" i="2"/>
  <c r="L140" i="2"/>
  <c r="M140" i="2"/>
  <c r="P140" i="2" s="1"/>
  <c r="N140" i="2"/>
  <c r="O140" i="2"/>
  <c r="O143" i="2"/>
  <c r="P143" i="2"/>
  <c r="L144" i="2"/>
  <c r="L142" i="2" s="1"/>
  <c r="M144" i="2"/>
  <c r="M142" i="2" s="1"/>
  <c r="N144" i="2"/>
  <c r="O146" i="2"/>
  <c r="P146" i="2"/>
  <c r="L147" i="2"/>
  <c r="L145" i="2" s="1"/>
  <c r="O145" i="2" s="1"/>
  <c r="M147" i="2"/>
  <c r="M145" i="2" s="1"/>
  <c r="P145" i="2" s="1"/>
  <c r="N147" i="2"/>
  <c r="N145" i="2" s="1"/>
  <c r="I150" i="2"/>
  <c r="K150" i="2" s="1"/>
  <c r="I151" i="2"/>
  <c r="K151" i="2" s="1"/>
  <c r="I152" i="2"/>
  <c r="K152" i="2" s="1"/>
  <c r="I153" i="2"/>
  <c r="I138" i="2" s="1"/>
  <c r="K138" i="2" s="1"/>
  <c r="I154" i="2"/>
  <c r="I136" i="2" s="1"/>
  <c r="K136" i="2" s="1"/>
  <c r="J156" i="2"/>
  <c r="L158" i="2"/>
  <c r="O158" i="2" s="1"/>
  <c r="M158" i="2"/>
  <c r="N158" i="2"/>
  <c r="P158" i="2"/>
  <c r="O161" i="2"/>
  <c r="P161" i="2"/>
  <c r="L162" i="2"/>
  <c r="M162" i="2"/>
  <c r="M160" i="2" s="1"/>
  <c r="P160" i="2" s="1"/>
  <c r="N162" i="2"/>
  <c r="N160" i="2" s="1"/>
  <c r="O164" i="2"/>
  <c r="P164" i="2"/>
  <c r="L165" i="2"/>
  <c r="O165" i="2" s="1"/>
  <c r="M165" i="2"/>
  <c r="M163" i="2" s="1"/>
  <c r="P163" i="2" s="1"/>
  <c r="N165" i="2"/>
  <c r="N163" i="2" s="1"/>
  <c r="I167" i="2"/>
  <c r="J172" i="2"/>
  <c r="L174" i="2"/>
  <c r="M174" i="2"/>
  <c r="N174" i="2"/>
  <c r="P174" i="2"/>
  <c r="O177" i="2"/>
  <c r="P177" i="2"/>
  <c r="L178" i="2"/>
  <c r="M178" i="2"/>
  <c r="M176" i="2" s="1"/>
  <c r="P176" i="2" s="1"/>
  <c r="N178" i="2"/>
  <c r="N176" i="2" s="1"/>
  <c r="O180" i="2"/>
  <c r="P180" i="2"/>
  <c r="L181" i="2"/>
  <c r="L179" i="2" s="1"/>
  <c r="O179" i="2" s="1"/>
  <c r="M181" i="2"/>
  <c r="M179" i="2" s="1"/>
  <c r="P179" i="2" s="1"/>
  <c r="N181" i="2"/>
  <c r="N179" i="2" s="1"/>
  <c r="I183" i="2"/>
  <c r="K183" i="2" s="1"/>
  <c r="K184" i="2"/>
  <c r="L187" i="2"/>
  <c r="O187" i="2" s="1"/>
  <c r="M187" i="2"/>
  <c r="N187" i="2"/>
  <c r="O190" i="2"/>
  <c r="P190" i="2"/>
  <c r="L191" i="2"/>
  <c r="M191" i="2"/>
  <c r="N191" i="2"/>
  <c r="O193" i="2"/>
  <c r="P193" i="2"/>
  <c r="L194" i="2"/>
  <c r="O194" i="2" s="1"/>
  <c r="M194" i="2"/>
  <c r="N194" i="2"/>
  <c r="N192" i="2" s="1"/>
  <c r="J195" i="2"/>
  <c r="L196" i="2"/>
  <c r="O196" i="2" s="1"/>
  <c r="P196" i="2"/>
  <c r="I198" i="2"/>
  <c r="I195" i="2" s="1"/>
  <c r="K195" i="2" s="1"/>
  <c r="J199" i="2"/>
  <c r="J202" i="2"/>
  <c r="N203" i="2"/>
  <c r="P203" i="2"/>
  <c r="L204" i="2"/>
  <c r="L205" i="2"/>
  <c r="L206" i="2"/>
  <c r="L207" i="2"/>
  <c r="I209" i="2"/>
  <c r="I202" i="2" s="1"/>
  <c r="I211" i="2"/>
  <c r="K211" i="2" s="1"/>
  <c r="I212" i="2"/>
  <c r="K212" i="2" s="1"/>
  <c r="J213" i="2"/>
  <c r="N214" i="2"/>
  <c r="P214" i="2"/>
  <c r="L215" i="2"/>
  <c r="L216" i="2"/>
  <c r="L217" i="2"/>
  <c r="I219" i="2"/>
  <c r="K219" i="2" s="1"/>
  <c r="I220" i="2"/>
  <c r="K220" i="2" s="1"/>
  <c r="J221" i="2"/>
  <c r="N222" i="2"/>
  <c r="P222" i="2"/>
  <c r="L223" i="2"/>
  <c r="L224" i="2"/>
  <c r="L225" i="2"/>
  <c r="I228" i="2"/>
  <c r="K228" i="2" s="1"/>
  <c r="I229" i="2"/>
  <c r="I221" i="2" s="1"/>
  <c r="I230" i="2"/>
  <c r="N233" i="2"/>
  <c r="N234" i="2"/>
  <c r="N235" i="2"/>
  <c r="N236" i="2"/>
  <c r="J238" i="2"/>
  <c r="I240" i="2"/>
  <c r="K240" i="2" s="1"/>
  <c r="J240" i="2"/>
  <c r="I241" i="2"/>
  <c r="K241" i="2" s="1"/>
  <c r="J241" i="2"/>
  <c r="J242" i="2"/>
  <c r="J231" i="2" s="1"/>
  <c r="J185" i="2" s="1"/>
  <c r="N243" i="2"/>
  <c r="P243" i="2"/>
  <c r="L244" i="2"/>
  <c r="L245" i="2"/>
  <c r="L246" i="2"/>
  <c r="L247" i="2"/>
  <c r="I249" i="2"/>
  <c r="I242" i="2" s="1"/>
  <c r="K242" i="2" s="1"/>
  <c r="K251" i="2"/>
  <c r="K252" i="2"/>
  <c r="J253" i="2"/>
  <c r="N254" i="2"/>
  <c r="P254" i="2"/>
  <c r="L255" i="2"/>
  <c r="L256" i="2"/>
  <c r="L257" i="2"/>
  <c r="L258" i="2"/>
  <c r="I260" i="2"/>
  <c r="K260" i="2" s="1"/>
  <c r="K262" i="2"/>
  <c r="K263" i="2"/>
  <c r="I265" i="2"/>
  <c r="J265" i="2"/>
  <c r="K265" i="2"/>
  <c r="L267" i="2"/>
  <c r="O267" i="2" s="1"/>
  <c r="M267" i="2"/>
  <c r="N267" i="2"/>
  <c r="O270" i="2"/>
  <c r="P270" i="2"/>
  <c r="L271" i="2"/>
  <c r="L269" i="2" s="1"/>
  <c r="O269" i="2" s="1"/>
  <c r="M271" i="2"/>
  <c r="N271" i="2"/>
  <c r="N269" i="2" s="1"/>
  <c r="O273" i="2"/>
  <c r="P273" i="2"/>
  <c r="L274" i="2"/>
  <c r="L272" i="2" s="1"/>
  <c r="O272" i="2" s="1"/>
  <c r="M274" i="2"/>
  <c r="N274" i="2"/>
  <c r="N272" i="2" s="1"/>
  <c r="J281" i="2"/>
  <c r="L283" i="2"/>
  <c r="O283" i="2" s="1"/>
  <c r="M283" i="2"/>
  <c r="N283" i="2"/>
  <c r="P283" i="2"/>
  <c r="O286" i="2"/>
  <c r="P286" i="2"/>
  <c r="L287" i="2"/>
  <c r="L285" i="2" s="1"/>
  <c r="O285" i="2" s="1"/>
  <c r="M287" i="2"/>
  <c r="M285" i="2" s="1"/>
  <c r="P285" i="2" s="1"/>
  <c r="N287" i="2"/>
  <c r="N285" i="2" s="1"/>
  <c r="O289" i="2"/>
  <c r="P289" i="2"/>
  <c r="L290" i="2"/>
  <c r="O290" i="2" s="1"/>
  <c r="M290" i="2"/>
  <c r="M288" i="2" s="1"/>
  <c r="P288" i="2" s="1"/>
  <c r="N290" i="2"/>
  <c r="N288" i="2" s="1"/>
  <c r="I292" i="2"/>
  <c r="K292" i="2" s="1"/>
  <c r="I293" i="2"/>
  <c r="I280" i="2" s="1"/>
  <c r="K280" i="2" s="1"/>
  <c r="J293" i="2"/>
  <c r="J280" i="2" s="1"/>
  <c r="I295" i="2"/>
  <c r="K295" i="2" s="1"/>
  <c r="I296" i="2"/>
  <c r="K296" i="2" s="1"/>
  <c r="J302" i="2"/>
  <c r="L304" i="2"/>
  <c r="O304" i="2" s="1"/>
  <c r="M304" i="2"/>
  <c r="N304" i="2"/>
  <c r="O307" i="2"/>
  <c r="P307" i="2"/>
  <c r="L308" i="2"/>
  <c r="O308" i="2" s="1"/>
  <c r="M308" i="2"/>
  <c r="N308" i="2"/>
  <c r="O310" i="2"/>
  <c r="P310" i="2"/>
  <c r="L311" i="2"/>
  <c r="L309" i="2" s="1"/>
  <c r="O309" i="2" s="1"/>
  <c r="M311" i="2"/>
  <c r="N311" i="2"/>
  <c r="N309" i="2" s="1"/>
  <c r="I314" i="2"/>
  <c r="I302" i="2" s="1"/>
  <c r="K302" i="2" s="1"/>
  <c r="I315" i="2"/>
  <c r="K315" i="2" s="1"/>
  <c r="I316" i="2"/>
  <c r="K316" i="2" s="1"/>
  <c r="I317" i="2"/>
  <c r="K317" i="2" s="1"/>
  <c r="J319" i="2"/>
  <c r="L321" i="2"/>
  <c r="O321" i="2" s="1"/>
  <c r="M321" i="2"/>
  <c r="P321" i="2" s="1"/>
  <c r="N321" i="2"/>
  <c r="O324" i="2"/>
  <c r="P324" i="2"/>
  <c r="L325" i="2"/>
  <c r="L323" i="2" s="1"/>
  <c r="M325" i="2"/>
  <c r="N325" i="2"/>
  <c r="N323" i="2" s="1"/>
  <c r="O327" i="2"/>
  <c r="P327" i="2"/>
  <c r="L328" i="2"/>
  <c r="O328" i="2" s="1"/>
  <c r="M328" i="2"/>
  <c r="P328" i="2" s="1"/>
  <c r="N328" i="2"/>
  <c r="N326" i="2" s="1"/>
  <c r="I330" i="2"/>
  <c r="I319" i="2" s="1"/>
  <c r="L334" i="2"/>
  <c r="O334" i="2" s="1"/>
  <c r="M334" i="2"/>
  <c r="N334" i="2"/>
  <c r="O337" i="2"/>
  <c r="P337" i="2"/>
  <c r="L338" i="2"/>
  <c r="L336" i="2" s="1"/>
  <c r="M338" i="2"/>
  <c r="M336" i="2" s="1"/>
  <c r="N338" i="2"/>
  <c r="O340" i="2"/>
  <c r="P340" i="2"/>
  <c r="L341" i="2"/>
  <c r="O341" i="2" s="1"/>
  <c r="M341" i="2"/>
  <c r="M339" i="2" s="1"/>
  <c r="P339" i="2" s="1"/>
  <c r="N341" i="2"/>
  <c r="N339" i="2" s="1"/>
  <c r="I344" i="2"/>
  <c r="I332" i="2" s="1"/>
  <c r="J344" i="2"/>
  <c r="I346" i="2"/>
  <c r="J346" i="2"/>
  <c r="J347" i="2"/>
  <c r="J348" i="2"/>
  <c r="J349" i="2"/>
  <c r="D350" i="2"/>
  <c r="J352" i="2"/>
  <c r="J353" i="2"/>
  <c r="D354" i="2"/>
  <c r="L357" i="2"/>
  <c r="O357" i="2" s="1"/>
  <c r="M357" i="2"/>
  <c r="N357" i="2"/>
  <c r="O360" i="2"/>
  <c r="P360" i="2"/>
  <c r="L361" i="2"/>
  <c r="M361" i="2"/>
  <c r="M359" i="2" s="1"/>
  <c r="N361" i="2"/>
  <c r="O363" i="2"/>
  <c r="P363" i="2"/>
  <c r="L364" i="2"/>
  <c r="O364" i="2" s="1"/>
  <c r="M364" i="2"/>
  <c r="M362" i="2" s="1"/>
  <c r="P362" i="2" s="1"/>
  <c r="N364" i="2"/>
  <c r="N362" i="2" s="1"/>
  <c r="J367" i="2"/>
  <c r="K367" i="2"/>
  <c r="I368" i="2"/>
  <c r="J368" i="2"/>
  <c r="I369" i="2"/>
  <c r="J369" i="2"/>
  <c r="J370" i="2"/>
  <c r="K370" i="2"/>
  <c r="I371" i="2"/>
  <c r="J371" i="2"/>
  <c r="J365" i="2" s="1"/>
  <c r="J372" i="2"/>
  <c r="K372" i="2"/>
  <c r="D373" i="2"/>
  <c r="I376" i="2"/>
  <c r="J376" i="2"/>
  <c r="K376" i="2"/>
  <c r="L378" i="2"/>
  <c r="M378" i="2"/>
  <c r="P378" i="2" s="1"/>
  <c r="N378" i="2"/>
  <c r="O381" i="2"/>
  <c r="P381" i="2"/>
  <c r="L382" i="2"/>
  <c r="L380" i="2" s="1"/>
  <c r="O380" i="2" s="1"/>
  <c r="M382" i="2"/>
  <c r="M380" i="2" s="1"/>
  <c r="P380" i="2" s="1"/>
  <c r="N382" i="2"/>
  <c r="N380" i="2" s="1"/>
  <c r="O384" i="2"/>
  <c r="P384" i="2"/>
  <c r="L385" i="2"/>
  <c r="L383" i="2" s="1"/>
  <c r="O383" i="2" s="1"/>
  <c r="M385" i="2"/>
  <c r="M383" i="2" s="1"/>
  <c r="P383" i="2" s="1"/>
  <c r="N385" i="2"/>
  <c r="N383" i="2" s="1"/>
  <c r="K387" i="2"/>
  <c r="K388" i="2"/>
  <c r="A391" i="2"/>
  <c r="A391" i="1"/>
  <c r="K388" i="1"/>
  <c r="K387" i="1"/>
  <c r="N385" i="1"/>
  <c r="N383" i="1" s="1"/>
  <c r="M385" i="1"/>
  <c r="P385" i="1" s="1"/>
  <c r="L385" i="1"/>
  <c r="P384" i="1"/>
  <c r="O384" i="1"/>
  <c r="N382" i="1"/>
  <c r="N380" i="1" s="1"/>
  <c r="M382" i="1"/>
  <c r="L382" i="1"/>
  <c r="P381" i="1"/>
  <c r="O381" i="1"/>
  <c r="P378" i="1"/>
  <c r="N378" i="1"/>
  <c r="M378" i="1"/>
  <c r="L378" i="1"/>
  <c r="O378" i="1" s="1"/>
  <c r="J376" i="1"/>
  <c r="I376" i="1"/>
  <c r="K376" i="1" s="1"/>
  <c r="D373" i="1"/>
  <c r="K372" i="1"/>
  <c r="J372" i="1"/>
  <c r="J371" i="1"/>
  <c r="J365" i="1" s="1"/>
  <c r="I371" i="1"/>
  <c r="K370" i="1"/>
  <c r="J370" i="1"/>
  <c r="J369" i="1"/>
  <c r="I369" i="1"/>
  <c r="J368" i="1"/>
  <c r="I368" i="1"/>
  <c r="K367" i="1"/>
  <c r="J367" i="1"/>
  <c r="N364" i="1"/>
  <c r="N362" i="1" s="1"/>
  <c r="M364" i="1"/>
  <c r="P364" i="1" s="1"/>
  <c r="L364" i="1"/>
  <c r="O364" i="1" s="1"/>
  <c r="P363" i="1"/>
  <c r="O363" i="1"/>
  <c r="N361" i="1"/>
  <c r="N359" i="1" s="1"/>
  <c r="M361" i="1"/>
  <c r="L361" i="1"/>
  <c r="L359" i="1" s="1"/>
  <c r="P360" i="1"/>
  <c r="O360" i="1"/>
  <c r="P357" i="1"/>
  <c r="N357" i="1"/>
  <c r="M357" i="1"/>
  <c r="L357" i="1"/>
  <c r="D354" i="1"/>
  <c r="J353" i="1"/>
  <c r="J352" i="1"/>
  <c r="D350" i="1"/>
  <c r="J349" i="1"/>
  <c r="J348" i="1"/>
  <c r="J347" i="1"/>
  <c r="J346" i="1"/>
  <c r="I346" i="1"/>
  <c r="J344" i="1"/>
  <c r="I344" i="1"/>
  <c r="I332" i="1" s="1"/>
  <c r="N341" i="1"/>
  <c r="N339" i="1" s="1"/>
  <c r="M341" i="1"/>
  <c r="P341" i="1" s="1"/>
  <c r="L341" i="1"/>
  <c r="O341" i="1" s="1"/>
  <c r="P340" i="1"/>
  <c r="O340" i="1"/>
  <c r="N338" i="1"/>
  <c r="M338" i="1"/>
  <c r="M336" i="1" s="1"/>
  <c r="L338" i="1"/>
  <c r="P337" i="1"/>
  <c r="O337" i="1"/>
  <c r="P334" i="1"/>
  <c r="N334" i="1"/>
  <c r="M334" i="1"/>
  <c r="L334" i="1"/>
  <c r="I330" i="1"/>
  <c r="K330" i="1" s="1"/>
  <c r="N328" i="1"/>
  <c r="N326" i="1" s="1"/>
  <c r="M328" i="1"/>
  <c r="L328" i="1"/>
  <c r="O328" i="1" s="1"/>
  <c r="P327" i="1"/>
  <c r="O327" i="1"/>
  <c r="N325" i="1"/>
  <c r="M325" i="1"/>
  <c r="L325" i="1"/>
  <c r="P324" i="1"/>
  <c r="O324" i="1"/>
  <c r="N321" i="1"/>
  <c r="M321" i="1"/>
  <c r="P321" i="1" s="1"/>
  <c r="L321" i="1"/>
  <c r="O321" i="1" s="1"/>
  <c r="J319" i="1"/>
  <c r="I317" i="1"/>
  <c r="K317" i="1" s="1"/>
  <c r="I316" i="1"/>
  <c r="K316" i="1" s="1"/>
  <c r="I315" i="1"/>
  <c r="K315" i="1" s="1"/>
  <c r="I314" i="1"/>
  <c r="K314" i="1" s="1"/>
  <c r="N311" i="1"/>
  <c r="N309" i="1" s="1"/>
  <c r="M311" i="1"/>
  <c r="P311" i="1" s="1"/>
  <c r="L311" i="1"/>
  <c r="O311" i="1" s="1"/>
  <c r="P310" i="1"/>
  <c r="O310" i="1"/>
  <c r="N308" i="1"/>
  <c r="N306" i="1" s="1"/>
  <c r="M308" i="1"/>
  <c r="P308" i="1" s="1"/>
  <c r="L308" i="1"/>
  <c r="L306" i="1" s="1"/>
  <c r="O306" i="1" s="1"/>
  <c r="P307" i="1"/>
  <c r="O307" i="1"/>
  <c r="P304" i="1"/>
  <c r="O304" i="1"/>
  <c r="N304" i="1"/>
  <c r="M304" i="1"/>
  <c r="L304" i="1"/>
  <c r="J302" i="1"/>
  <c r="I296" i="1"/>
  <c r="K296" i="1" s="1"/>
  <c r="I295" i="1"/>
  <c r="K295" i="1" s="1"/>
  <c r="J293" i="1"/>
  <c r="J280" i="1" s="1"/>
  <c r="I293" i="1"/>
  <c r="K293" i="1" s="1"/>
  <c r="I292" i="1"/>
  <c r="K292" i="1" s="1"/>
  <c r="N290" i="1"/>
  <c r="N288" i="1" s="1"/>
  <c r="M290" i="1"/>
  <c r="P290" i="1" s="1"/>
  <c r="L290" i="1"/>
  <c r="P289" i="1"/>
  <c r="O289" i="1"/>
  <c r="N287" i="1"/>
  <c r="M287" i="1"/>
  <c r="L287" i="1"/>
  <c r="P286" i="1"/>
  <c r="O286" i="1"/>
  <c r="N283" i="1"/>
  <c r="M283" i="1"/>
  <c r="L283" i="1"/>
  <c r="O283" i="1" s="1"/>
  <c r="J281" i="1"/>
  <c r="N274" i="1"/>
  <c r="N272" i="1" s="1"/>
  <c r="M274" i="1"/>
  <c r="M272" i="1" s="1"/>
  <c r="P272" i="1" s="1"/>
  <c r="L274" i="1"/>
  <c r="O274" i="1" s="1"/>
  <c r="P273" i="1"/>
  <c r="O273" i="1"/>
  <c r="N271" i="1"/>
  <c r="M271" i="1"/>
  <c r="P271" i="1" s="1"/>
  <c r="L271" i="1"/>
  <c r="P270" i="1"/>
  <c r="O270" i="1"/>
  <c r="P267" i="1"/>
  <c r="O267" i="1"/>
  <c r="N267" i="1"/>
  <c r="M267" i="1"/>
  <c r="L267" i="1"/>
  <c r="J265" i="1"/>
  <c r="I265" i="1"/>
  <c r="K265" i="1" s="1"/>
  <c r="K263" i="1"/>
  <c r="K262" i="1"/>
  <c r="I260" i="1"/>
  <c r="K260" i="1" s="1"/>
  <c r="L258" i="1"/>
  <c r="L257" i="1"/>
  <c r="L256" i="1"/>
  <c r="L255" i="1"/>
  <c r="P254" i="1"/>
  <c r="N254" i="1"/>
  <c r="J253" i="1"/>
  <c r="K252" i="1"/>
  <c r="K251" i="1"/>
  <c r="I249" i="1"/>
  <c r="L247" i="1"/>
  <c r="L246" i="1"/>
  <c r="L245" i="1"/>
  <c r="L244" i="1"/>
  <c r="P243" i="1"/>
  <c r="N243" i="1"/>
  <c r="N232" i="1" s="1"/>
  <c r="J242" i="1"/>
  <c r="J231" i="1" s="1"/>
  <c r="J185" i="1" s="1"/>
  <c r="K241" i="1"/>
  <c r="J241" i="1"/>
  <c r="I241" i="1"/>
  <c r="J240" i="1"/>
  <c r="I240" i="1"/>
  <c r="K240" i="1" s="1"/>
  <c r="J238" i="1"/>
  <c r="N236" i="1"/>
  <c r="N235" i="1"/>
  <c r="N234" i="1"/>
  <c r="N233" i="1"/>
  <c r="I230" i="1"/>
  <c r="K230" i="1" s="1"/>
  <c r="I229" i="1"/>
  <c r="K229" i="1" s="1"/>
  <c r="I228" i="1"/>
  <c r="K228" i="1" s="1"/>
  <c r="L225" i="1"/>
  <c r="L224" i="1"/>
  <c r="L223" i="1"/>
  <c r="P222" i="1"/>
  <c r="N222" i="1"/>
  <c r="J221" i="1"/>
  <c r="I220" i="1"/>
  <c r="K220" i="1" s="1"/>
  <c r="I219" i="1"/>
  <c r="K219" i="1" s="1"/>
  <c r="L217" i="1"/>
  <c r="L216" i="1"/>
  <c r="L215" i="1"/>
  <c r="P214" i="1"/>
  <c r="N214" i="1"/>
  <c r="J213" i="1"/>
  <c r="I212" i="1"/>
  <c r="K212" i="1" s="1"/>
  <c r="I211" i="1"/>
  <c r="K211" i="1" s="1"/>
  <c r="I209" i="1"/>
  <c r="I202" i="1" s="1"/>
  <c r="L207" i="1"/>
  <c r="L206" i="1"/>
  <c r="L205" i="1"/>
  <c r="L204" i="1"/>
  <c r="P203" i="1"/>
  <c r="N203" i="1"/>
  <c r="J202" i="1"/>
  <c r="J199" i="1"/>
  <c r="I198" i="1"/>
  <c r="K198" i="1" s="1"/>
  <c r="P196" i="1"/>
  <c r="L196" i="1"/>
  <c r="O196" i="1" s="1"/>
  <c r="J195" i="1"/>
  <c r="N194" i="1"/>
  <c r="N192" i="1" s="1"/>
  <c r="M194" i="1"/>
  <c r="P194" i="1" s="1"/>
  <c r="L194" i="1"/>
  <c r="O194" i="1" s="1"/>
  <c r="P193" i="1"/>
  <c r="O193" i="1"/>
  <c r="N191" i="1"/>
  <c r="N189" i="1" s="1"/>
  <c r="M191" i="1"/>
  <c r="L191" i="1"/>
  <c r="P190" i="1"/>
  <c r="O190" i="1"/>
  <c r="P187" i="1"/>
  <c r="O187" i="1"/>
  <c r="N187" i="1"/>
  <c r="M187" i="1"/>
  <c r="L187" i="1"/>
  <c r="K184" i="1"/>
  <c r="I183" i="1"/>
  <c r="K183" i="1" s="1"/>
  <c r="N181" i="1"/>
  <c r="N179" i="1" s="1"/>
  <c r="M181" i="1"/>
  <c r="P181" i="1" s="1"/>
  <c r="L181" i="1"/>
  <c r="L179" i="1" s="1"/>
  <c r="O179" i="1" s="1"/>
  <c r="P180" i="1"/>
  <c r="O180" i="1"/>
  <c r="N178" i="1"/>
  <c r="N176" i="1" s="1"/>
  <c r="M178" i="1"/>
  <c r="M176" i="1" s="1"/>
  <c r="L178" i="1"/>
  <c r="L176" i="1" s="1"/>
  <c r="P177" i="1"/>
  <c r="O177" i="1"/>
  <c r="N174" i="1"/>
  <c r="M174" i="1"/>
  <c r="P174" i="1" s="1"/>
  <c r="L174" i="1"/>
  <c r="O174" i="1" s="1"/>
  <c r="J172" i="1"/>
  <c r="I169" i="1"/>
  <c r="I168" i="1"/>
  <c r="K168" i="1" s="1"/>
  <c r="I167" i="1"/>
  <c r="K167" i="1" s="1"/>
  <c r="N165" i="1"/>
  <c r="N163" i="1" s="1"/>
  <c r="M165" i="1"/>
  <c r="P165" i="1" s="1"/>
  <c r="L165" i="1"/>
  <c r="L163" i="1" s="1"/>
  <c r="O163" i="1" s="1"/>
  <c r="P164" i="1"/>
  <c r="O164" i="1"/>
  <c r="N162" i="1"/>
  <c r="N160" i="1" s="1"/>
  <c r="M162" i="1"/>
  <c r="P162" i="1" s="1"/>
  <c r="L162" i="1"/>
  <c r="P161" i="1"/>
  <c r="O161" i="1"/>
  <c r="N158" i="1"/>
  <c r="M158" i="1"/>
  <c r="P158" i="1" s="1"/>
  <c r="L158" i="1"/>
  <c r="O158" i="1" s="1"/>
  <c r="J156" i="1"/>
  <c r="I154" i="1"/>
  <c r="K154" i="1" s="1"/>
  <c r="I153" i="1"/>
  <c r="I138" i="1" s="1"/>
  <c r="K138" i="1" s="1"/>
  <c r="I152" i="1"/>
  <c r="I137" i="1" s="1"/>
  <c r="K137" i="1" s="1"/>
  <c r="I151" i="1"/>
  <c r="K151" i="1" s="1"/>
  <c r="I150" i="1"/>
  <c r="K150" i="1" s="1"/>
  <c r="N147" i="1"/>
  <c r="N145" i="1" s="1"/>
  <c r="M147" i="1"/>
  <c r="P147" i="1" s="1"/>
  <c r="L147" i="1"/>
  <c r="O147" i="1" s="1"/>
  <c r="P146" i="1"/>
  <c r="O146" i="1"/>
  <c r="N144" i="1"/>
  <c r="N142" i="1" s="1"/>
  <c r="M144" i="1"/>
  <c r="L144" i="1"/>
  <c r="O144" i="1" s="1"/>
  <c r="P143" i="1"/>
  <c r="O143" i="1"/>
  <c r="P140" i="1"/>
  <c r="N140" i="1"/>
  <c r="M140" i="1"/>
  <c r="L140" i="1"/>
  <c r="O140" i="1" s="1"/>
  <c r="J138" i="1"/>
  <c r="J137" i="1"/>
  <c r="J136" i="1"/>
  <c r="N133" i="1"/>
  <c r="N131" i="1" s="1"/>
  <c r="M133" i="1"/>
  <c r="L133" i="1"/>
  <c r="O133" i="1" s="1"/>
  <c r="P132" i="1"/>
  <c r="O132" i="1"/>
  <c r="N130" i="1"/>
  <c r="N128" i="1" s="1"/>
  <c r="M130" i="1"/>
  <c r="P130" i="1" s="1"/>
  <c r="L130" i="1"/>
  <c r="O130" i="1" s="1"/>
  <c r="P129" i="1"/>
  <c r="O129" i="1"/>
  <c r="P126" i="1"/>
  <c r="N126" i="1"/>
  <c r="M126" i="1"/>
  <c r="L126" i="1"/>
  <c r="I117" i="1"/>
  <c r="K117" i="1" s="1"/>
  <c r="I109" i="1"/>
  <c r="I93" i="1" s="1"/>
  <c r="K93" i="1" s="1"/>
  <c r="I108" i="1"/>
  <c r="K108" i="1" s="1"/>
  <c r="N102" i="1"/>
  <c r="N100" i="1" s="1"/>
  <c r="M102" i="1"/>
  <c r="M100" i="1" s="1"/>
  <c r="P100" i="1" s="1"/>
  <c r="L102" i="1"/>
  <c r="P101" i="1"/>
  <c r="O101" i="1"/>
  <c r="N99" i="1"/>
  <c r="M99" i="1"/>
  <c r="L99" i="1"/>
  <c r="L97" i="1" s="1"/>
  <c r="O97" i="1" s="1"/>
  <c r="P98" i="1"/>
  <c r="O98" i="1"/>
  <c r="N95" i="1"/>
  <c r="M95" i="1"/>
  <c r="P95" i="1" s="1"/>
  <c r="L95" i="1"/>
  <c r="O95" i="1" s="1"/>
  <c r="J93" i="1"/>
  <c r="J92" i="1"/>
  <c r="I90" i="1"/>
  <c r="K90" i="1" s="1"/>
  <c r="I89" i="1"/>
  <c r="K89" i="1" s="1"/>
  <c r="I88" i="1"/>
  <c r="K88" i="1" s="1"/>
  <c r="I87" i="1"/>
  <c r="K87" i="1" s="1"/>
  <c r="I86" i="1"/>
  <c r="I85" i="1"/>
  <c r="K85" i="1" s="1"/>
  <c r="I84" i="1"/>
  <c r="K84" i="1" s="1"/>
  <c r="J83" i="1"/>
  <c r="J82" i="1"/>
  <c r="J70" i="1" s="1"/>
  <c r="N80" i="1"/>
  <c r="N78" i="1" s="1"/>
  <c r="M80" i="1"/>
  <c r="P80" i="1" s="1"/>
  <c r="L80" i="1"/>
  <c r="L78" i="1" s="1"/>
  <c r="O78" i="1" s="1"/>
  <c r="P79" i="1"/>
  <c r="O79" i="1"/>
  <c r="N77" i="1"/>
  <c r="N75" i="1" s="1"/>
  <c r="M77" i="1"/>
  <c r="P77" i="1" s="1"/>
  <c r="L77" i="1"/>
  <c r="L75" i="1" s="1"/>
  <c r="O75" i="1" s="1"/>
  <c r="P76" i="1"/>
  <c r="O76" i="1"/>
  <c r="N73" i="1"/>
  <c r="M73" i="1"/>
  <c r="P73" i="1" s="1"/>
  <c r="L73" i="1"/>
  <c r="O73" i="1" s="1"/>
  <c r="J71" i="1"/>
  <c r="N67" i="1"/>
  <c r="N65" i="1" s="1"/>
  <c r="M67" i="1"/>
  <c r="M65" i="1" s="1"/>
  <c r="P65" i="1" s="1"/>
  <c r="L67" i="1"/>
  <c r="L65" i="1" s="1"/>
  <c r="O65" i="1" s="1"/>
  <c r="P66" i="1"/>
  <c r="O66" i="1"/>
  <c r="N64" i="1"/>
  <c r="M64" i="1"/>
  <c r="M62" i="1" s="1"/>
  <c r="L64" i="1"/>
  <c r="L62" i="1" s="1"/>
  <c r="P63" i="1"/>
  <c r="O63" i="1"/>
  <c r="P60" i="1"/>
  <c r="O60" i="1"/>
  <c r="N60" i="1"/>
  <c r="M60" i="1"/>
  <c r="L60" i="1"/>
  <c r="N52" i="1"/>
  <c r="M52" i="1"/>
  <c r="P52" i="1" s="1"/>
  <c r="L52" i="1"/>
  <c r="O52" i="1" s="1"/>
  <c r="P51" i="1"/>
  <c r="O51" i="1"/>
  <c r="N49" i="1"/>
  <c r="M49" i="1"/>
  <c r="L49" i="1"/>
  <c r="L47" i="1" s="1"/>
  <c r="P48" i="1"/>
  <c r="O48" i="1"/>
  <c r="N45" i="1"/>
  <c r="M45" i="1"/>
  <c r="P45" i="1" s="1"/>
  <c r="L45" i="1"/>
  <c r="O45" i="1" s="1"/>
  <c r="N25" i="1"/>
  <c r="M25" i="1"/>
  <c r="P25" i="1" s="1"/>
  <c r="L25" i="1"/>
  <c r="O22" i="1"/>
  <c r="N22" i="1"/>
  <c r="M22" i="1"/>
  <c r="L22" i="1"/>
  <c r="N19" i="1"/>
  <c r="L269" i="14" l="1"/>
  <c r="O269" i="14" s="1"/>
  <c r="P52" i="14"/>
  <c r="P49" i="14"/>
  <c r="L235" i="14"/>
  <c r="K368" i="14"/>
  <c r="P323" i="14"/>
  <c r="M96" i="13"/>
  <c r="P96" i="13" s="1"/>
  <c r="O323" i="14"/>
  <c r="N188" i="14"/>
  <c r="N186" i="14" s="1"/>
  <c r="M326" i="14"/>
  <c r="P326" i="14" s="1"/>
  <c r="I213" i="14"/>
  <c r="K213" i="14" s="1"/>
  <c r="O142" i="14"/>
  <c r="P271" i="13"/>
  <c r="P165" i="14"/>
  <c r="L309" i="14"/>
  <c r="O309" i="14" s="1"/>
  <c r="O181" i="14"/>
  <c r="O165" i="14"/>
  <c r="L362" i="13"/>
  <c r="O362" i="13" s="1"/>
  <c r="O274" i="13"/>
  <c r="L358" i="14"/>
  <c r="L356" i="14" s="1"/>
  <c r="K260" i="14"/>
  <c r="I238" i="14"/>
  <c r="K238" i="14" s="1"/>
  <c r="L175" i="14"/>
  <c r="L173" i="14" s="1"/>
  <c r="O133" i="14"/>
  <c r="M96" i="14"/>
  <c r="P96" i="14" s="1"/>
  <c r="P67" i="14"/>
  <c r="N46" i="14"/>
  <c r="N44" i="14" s="1"/>
  <c r="L305" i="14"/>
  <c r="L303" i="14" s="1"/>
  <c r="L159" i="14"/>
  <c r="L157" i="14" s="1"/>
  <c r="O67" i="14"/>
  <c r="O194" i="13"/>
  <c r="J351" i="14"/>
  <c r="P181" i="14"/>
  <c r="L127" i="14"/>
  <c r="L125" i="14" s="1"/>
  <c r="O125" i="14" s="1"/>
  <c r="P80" i="14"/>
  <c r="N74" i="14"/>
  <c r="N72" i="14" s="1"/>
  <c r="L46" i="14"/>
  <c r="K344" i="14"/>
  <c r="P290" i="14"/>
  <c r="O287" i="14"/>
  <c r="L243" i="14"/>
  <c r="O243" i="14" s="1"/>
  <c r="M145" i="14"/>
  <c r="P145" i="14" s="1"/>
  <c r="I138" i="14"/>
  <c r="K138" i="14" s="1"/>
  <c r="I82" i="14"/>
  <c r="I70" i="14" s="1"/>
  <c r="K70" i="14" s="1"/>
  <c r="K368" i="11"/>
  <c r="N379" i="14"/>
  <c r="N377" i="14" s="1"/>
  <c r="N358" i="14"/>
  <c r="N356" i="14" s="1"/>
  <c r="L233" i="14"/>
  <c r="L74" i="14"/>
  <c r="O74" i="14" s="1"/>
  <c r="L61" i="14"/>
  <c r="L59" i="14" s="1"/>
  <c r="K369" i="14"/>
  <c r="O364" i="14"/>
  <c r="O290" i="14"/>
  <c r="L236" i="14"/>
  <c r="O191" i="14"/>
  <c r="N175" i="14"/>
  <c r="N173" i="14" s="1"/>
  <c r="L176" i="14"/>
  <c r="O176" i="14" s="1"/>
  <c r="N159" i="14"/>
  <c r="N157" i="14" s="1"/>
  <c r="L160" i="14"/>
  <c r="O160" i="14" s="1"/>
  <c r="P144" i="14"/>
  <c r="P102" i="14"/>
  <c r="O80" i="14"/>
  <c r="O64" i="14"/>
  <c r="O60" i="14"/>
  <c r="L50" i="14"/>
  <c r="O50" i="14" s="1"/>
  <c r="N47" i="14"/>
  <c r="M131" i="14"/>
  <c r="P131" i="14" s="1"/>
  <c r="K260" i="13"/>
  <c r="K249" i="13"/>
  <c r="K371" i="14"/>
  <c r="O341" i="14"/>
  <c r="I319" i="14"/>
  <c r="K319" i="14" s="1"/>
  <c r="N268" i="14"/>
  <c r="N266" i="14" s="1"/>
  <c r="L272" i="14"/>
  <c r="O272" i="14" s="1"/>
  <c r="P176" i="14"/>
  <c r="M159" i="14"/>
  <c r="P159" i="14" s="1"/>
  <c r="K154" i="14"/>
  <c r="L141" i="14"/>
  <c r="L139" i="14" s="1"/>
  <c r="O130" i="14"/>
  <c r="P99" i="14"/>
  <c r="M97" i="14"/>
  <c r="P97" i="14" s="1"/>
  <c r="L47" i="14"/>
  <c r="N19" i="14"/>
  <c r="M383" i="14"/>
  <c r="P383" i="14" s="1"/>
  <c r="N380" i="14"/>
  <c r="N359" i="14"/>
  <c r="O328" i="14"/>
  <c r="L306" i="14"/>
  <c r="O174" i="14"/>
  <c r="O147" i="14"/>
  <c r="M128" i="14"/>
  <c r="P128" i="14" s="1"/>
  <c r="K109" i="14"/>
  <c r="N96" i="14"/>
  <c r="N94" i="14" s="1"/>
  <c r="O77" i="14"/>
  <c r="N75" i="14"/>
  <c r="M131" i="13"/>
  <c r="P131" i="13" s="1"/>
  <c r="L359" i="14"/>
  <c r="O308" i="14"/>
  <c r="K293" i="14"/>
  <c r="L254" i="14"/>
  <c r="O254" i="14" s="1"/>
  <c r="L222" i="14"/>
  <c r="O222" i="14" s="1"/>
  <c r="L214" i="14"/>
  <c r="O214" i="14" s="1"/>
  <c r="L192" i="14"/>
  <c r="O192" i="14" s="1"/>
  <c r="L75" i="14"/>
  <c r="O75" i="14" s="1"/>
  <c r="K346" i="13"/>
  <c r="I253" i="13"/>
  <c r="K253" i="13" s="1"/>
  <c r="P189" i="13"/>
  <c r="N74" i="13"/>
  <c r="N72" i="13" s="1"/>
  <c r="M379" i="14"/>
  <c r="P379" i="14" s="1"/>
  <c r="P361" i="14"/>
  <c r="K346" i="14"/>
  <c r="M322" i="14"/>
  <c r="M320" i="14" s="1"/>
  <c r="L284" i="14"/>
  <c r="L282" i="14" s="1"/>
  <c r="K229" i="14"/>
  <c r="L203" i="14"/>
  <c r="O203" i="14" s="1"/>
  <c r="O189" i="14"/>
  <c r="K108" i="14"/>
  <c r="K86" i="14"/>
  <c r="L175" i="13"/>
  <c r="L173" i="13" s="1"/>
  <c r="L383" i="14"/>
  <c r="O383" i="14" s="1"/>
  <c r="L380" i="14"/>
  <c r="O380" i="14" s="1"/>
  <c r="J365" i="14"/>
  <c r="K365" i="14" s="1"/>
  <c r="M362" i="14"/>
  <c r="P362" i="14" s="1"/>
  <c r="M359" i="14"/>
  <c r="M339" i="14"/>
  <c r="P339" i="14" s="1"/>
  <c r="J332" i="14"/>
  <c r="K332" i="14" s="1"/>
  <c r="N322" i="14"/>
  <c r="N320" i="14" s="1"/>
  <c r="P311" i="14"/>
  <c r="N284" i="14"/>
  <c r="N282" i="14" s="1"/>
  <c r="I281" i="14"/>
  <c r="K281" i="14" s="1"/>
  <c r="P271" i="14"/>
  <c r="P191" i="14"/>
  <c r="P178" i="14"/>
  <c r="P60" i="14"/>
  <c r="N306" i="14"/>
  <c r="M188" i="14"/>
  <c r="I83" i="14"/>
  <c r="K85" i="14"/>
  <c r="L96" i="13"/>
  <c r="O96" i="13" s="1"/>
  <c r="N78" i="13"/>
  <c r="P382" i="14"/>
  <c r="O378" i="14"/>
  <c r="P357" i="14"/>
  <c r="J343" i="14"/>
  <c r="P338" i="14"/>
  <c r="M335" i="14"/>
  <c r="O325" i="14"/>
  <c r="L322" i="14"/>
  <c r="M284" i="14"/>
  <c r="I242" i="14"/>
  <c r="K249" i="14"/>
  <c r="L234" i="14"/>
  <c r="I172" i="14"/>
  <c r="K172" i="14" s="1"/>
  <c r="I137" i="14"/>
  <c r="K137" i="14" s="1"/>
  <c r="N127" i="14"/>
  <c r="N125" i="14" s="1"/>
  <c r="M74" i="14"/>
  <c r="P74" i="14" s="1"/>
  <c r="L379" i="14"/>
  <c r="O379" i="14" s="1"/>
  <c r="M358" i="14"/>
  <c r="M268" i="14"/>
  <c r="P268" i="14" s="1"/>
  <c r="N26" i="14"/>
  <c r="N24" i="14" s="1"/>
  <c r="L268" i="13"/>
  <c r="O268" i="13" s="1"/>
  <c r="O357" i="14"/>
  <c r="O338" i="14"/>
  <c r="L335" i="14"/>
  <c r="P321" i="14"/>
  <c r="N305" i="14"/>
  <c r="N303" i="14" s="1"/>
  <c r="I302" i="14"/>
  <c r="K302" i="14" s="1"/>
  <c r="P287" i="14"/>
  <c r="P283" i="14"/>
  <c r="I280" i="14"/>
  <c r="K280" i="14" s="1"/>
  <c r="P267" i="14"/>
  <c r="I202" i="14"/>
  <c r="K202" i="14" s="1"/>
  <c r="P189" i="14"/>
  <c r="P187" i="14"/>
  <c r="P162" i="14"/>
  <c r="N141" i="14"/>
  <c r="L23" i="14"/>
  <c r="L21" i="14" s="1"/>
  <c r="O99" i="14"/>
  <c r="N61" i="14"/>
  <c r="N59" i="14" s="1"/>
  <c r="M47" i="14"/>
  <c r="M23" i="14"/>
  <c r="O25" i="14"/>
  <c r="P19" i="14"/>
  <c r="L19" i="14"/>
  <c r="N62" i="14"/>
  <c r="O62" i="14" s="1"/>
  <c r="O361" i="14"/>
  <c r="N335" i="14"/>
  <c r="N333" i="14" s="1"/>
  <c r="N336" i="14"/>
  <c r="P336" i="14" s="1"/>
  <c r="M305" i="14"/>
  <c r="N285" i="14"/>
  <c r="O285" i="14" s="1"/>
  <c r="P274" i="14"/>
  <c r="P194" i="14"/>
  <c r="M175" i="14"/>
  <c r="I168" i="14"/>
  <c r="K168" i="14" s="1"/>
  <c r="O144" i="14"/>
  <c r="P142" i="14"/>
  <c r="L96" i="14"/>
  <c r="P77" i="14"/>
  <c r="M61" i="14"/>
  <c r="M46" i="14"/>
  <c r="M26" i="14"/>
  <c r="N175" i="13"/>
  <c r="N173" i="13" s="1"/>
  <c r="P308" i="14"/>
  <c r="N272" i="14"/>
  <c r="N192" i="14"/>
  <c r="K167" i="14"/>
  <c r="I169" i="14"/>
  <c r="K169" i="14" s="1"/>
  <c r="L100" i="14"/>
  <c r="O100" i="14" s="1"/>
  <c r="P64" i="14"/>
  <c r="L26" i="14"/>
  <c r="O26" i="14" s="1"/>
  <c r="P325" i="14"/>
  <c r="L268" i="14"/>
  <c r="K230" i="14"/>
  <c r="K198" i="14"/>
  <c r="L188" i="14"/>
  <c r="O178" i="14"/>
  <c r="O162" i="14"/>
  <c r="M141" i="14"/>
  <c r="M127" i="14"/>
  <c r="P127" i="14" s="1"/>
  <c r="O49" i="14"/>
  <c r="N23" i="14"/>
  <c r="P22" i="14"/>
  <c r="N322" i="13"/>
  <c r="N320" i="13" s="1"/>
  <c r="M128" i="13"/>
  <c r="P128" i="13" s="1"/>
  <c r="O311" i="13"/>
  <c r="I202" i="13"/>
  <c r="K202" i="13" s="1"/>
  <c r="K344" i="13"/>
  <c r="P147" i="13"/>
  <c r="P144" i="13"/>
  <c r="L305" i="13"/>
  <c r="O305" i="13" s="1"/>
  <c r="K368" i="13"/>
  <c r="P361" i="13"/>
  <c r="N323" i="13"/>
  <c r="M284" i="13"/>
  <c r="P284" i="13" s="1"/>
  <c r="L234" i="13"/>
  <c r="O102" i="13"/>
  <c r="L358" i="13"/>
  <c r="L356" i="13" s="1"/>
  <c r="L339" i="13"/>
  <c r="O339" i="13" s="1"/>
  <c r="P328" i="13"/>
  <c r="L254" i="13"/>
  <c r="O254" i="13" s="1"/>
  <c r="L188" i="13"/>
  <c r="L186" i="13" s="1"/>
  <c r="K169" i="13"/>
  <c r="P67" i="13"/>
  <c r="O133" i="13"/>
  <c r="O67" i="13"/>
  <c r="K365" i="13"/>
  <c r="L203" i="13"/>
  <c r="O203" i="13" s="1"/>
  <c r="N61" i="13"/>
  <c r="N59" i="13" s="1"/>
  <c r="K371" i="13"/>
  <c r="L159" i="13"/>
  <c r="O159" i="13" s="1"/>
  <c r="N127" i="13"/>
  <c r="N125" i="13" s="1"/>
  <c r="K369" i="13"/>
  <c r="L379" i="12"/>
  <c r="O379" i="12" s="1"/>
  <c r="K153" i="12"/>
  <c r="O361" i="13"/>
  <c r="P338" i="13"/>
  <c r="O328" i="13"/>
  <c r="P308" i="13"/>
  <c r="O271" i="13"/>
  <c r="N232" i="13"/>
  <c r="L214" i="13"/>
  <c r="O214" i="13" s="1"/>
  <c r="N159" i="13"/>
  <c r="N157" i="13" s="1"/>
  <c r="I138" i="13"/>
  <c r="K138" i="13" s="1"/>
  <c r="L61" i="13"/>
  <c r="N335" i="13"/>
  <c r="N333" i="13" s="1"/>
  <c r="L322" i="13"/>
  <c r="O322" i="13" s="1"/>
  <c r="N379" i="13"/>
  <c r="N377" i="13" s="1"/>
  <c r="J343" i="13"/>
  <c r="O338" i="13"/>
  <c r="P325" i="13"/>
  <c r="O308" i="13"/>
  <c r="L303" i="13"/>
  <c r="O303" i="13" s="1"/>
  <c r="L236" i="13"/>
  <c r="K220" i="13"/>
  <c r="O191" i="13"/>
  <c r="L189" i="13"/>
  <c r="O189" i="13" s="1"/>
  <c r="M159" i="13"/>
  <c r="P159" i="13" s="1"/>
  <c r="K154" i="13"/>
  <c r="O130" i="13"/>
  <c r="K109" i="13"/>
  <c r="O99" i="13"/>
  <c r="L97" i="13"/>
  <c r="O97" i="13" s="1"/>
  <c r="I83" i="13"/>
  <c r="I71" i="13" s="1"/>
  <c r="K71" i="13" s="1"/>
  <c r="J351" i="13"/>
  <c r="K344" i="12"/>
  <c r="P130" i="12"/>
  <c r="M379" i="13"/>
  <c r="M377" i="13" s="1"/>
  <c r="P377" i="13" s="1"/>
  <c r="J332" i="13"/>
  <c r="K332" i="13" s="1"/>
  <c r="O325" i="13"/>
  <c r="L306" i="13"/>
  <c r="O306" i="13" s="1"/>
  <c r="L284" i="13"/>
  <c r="O284" i="13" s="1"/>
  <c r="N268" i="13"/>
  <c r="N266" i="13" s="1"/>
  <c r="L235" i="13"/>
  <c r="N188" i="13"/>
  <c r="L26" i="13"/>
  <c r="L24" i="13" s="1"/>
  <c r="O24" i="13" s="1"/>
  <c r="P64" i="13"/>
  <c r="L19" i="13"/>
  <c r="O325" i="12"/>
  <c r="L305" i="12"/>
  <c r="O305" i="12" s="1"/>
  <c r="K330" i="13"/>
  <c r="N305" i="13"/>
  <c r="N303" i="13" s="1"/>
  <c r="I302" i="13"/>
  <c r="K302" i="13" s="1"/>
  <c r="N284" i="13"/>
  <c r="N282" i="13" s="1"/>
  <c r="M175" i="13"/>
  <c r="M141" i="13"/>
  <c r="L141" i="13"/>
  <c r="L139" i="13" s="1"/>
  <c r="O139" i="13" s="1"/>
  <c r="M127" i="13"/>
  <c r="K108" i="13"/>
  <c r="O64" i="13"/>
  <c r="N62" i="13"/>
  <c r="O62" i="13" s="1"/>
  <c r="P49" i="13"/>
  <c r="M19" i="13"/>
  <c r="N188" i="12"/>
  <c r="N186" i="12" s="1"/>
  <c r="M383" i="13"/>
  <c r="P383" i="13" s="1"/>
  <c r="M380" i="13"/>
  <c r="P380" i="13" s="1"/>
  <c r="L379" i="13"/>
  <c r="O379" i="13" s="1"/>
  <c r="N359" i="13"/>
  <c r="O359" i="13" s="1"/>
  <c r="M358" i="13"/>
  <c r="M356" i="13" s="1"/>
  <c r="N336" i="13"/>
  <c r="O336" i="13" s="1"/>
  <c r="M335" i="13"/>
  <c r="P290" i="13"/>
  <c r="M285" i="13"/>
  <c r="P285" i="13" s="1"/>
  <c r="L243" i="13"/>
  <c r="P181" i="13"/>
  <c r="M176" i="13"/>
  <c r="P165" i="13"/>
  <c r="M160" i="13"/>
  <c r="P160" i="13" s="1"/>
  <c r="L127" i="13"/>
  <c r="M100" i="13"/>
  <c r="P100" i="13" s="1"/>
  <c r="P102" i="13"/>
  <c r="M78" i="13"/>
  <c r="P78" i="13" s="1"/>
  <c r="M74" i="13"/>
  <c r="P74" i="13" s="1"/>
  <c r="O60" i="13"/>
  <c r="O19" i="13"/>
  <c r="N358" i="13"/>
  <c r="N356" i="13" s="1"/>
  <c r="J351" i="12"/>
  <c r="K346" i="12"/>
  <c r="L383" i="13"/>
  <c r="O383" i="13" s="1"/>
  <c r="L380" i="13"/>
  <c r="O380" i="13" s="1"/>
  <c r="M362" i="13"/>
  <c r="P362" i="13" s="1"/>
  <c r="M359" i="13"/>
  <c r="M339" i="13"/>
  <c r="P339" i="13" s="1"/>
  <c r="M336" i="13"/>
  <c r="L335" i="13"/>
  <c r="M322" i="13"/>
  <c r="P322" i="13" s="1"/>
  <c r="L285" i="13"/>
  <c r="O285" i="13" s="1"/>
  <c r="I280" i="13"/>
  <c r="K280" i="13" s="1"/>
  <c r="K229" i="13"/>
  <c r="L222" i="13"/>
  <c r="O222" i="13" s="1"/>
  <c r="I195" i="13"/>
  <c r="K195" i="13" s="1"/>
  <c r="P191" i="13"/>
  <c r="O178" i="13"/>
  <c r="L176" i="13"/>
  <c r="L160" i="13"/>
  <c r="O160" i="13" s="1"/>
  <c r="L142" i="13"/>
  <c r="O142" i="13" s="1"/>
  <c r="N96" i="13"/>
  <c r="N94" i="13" s="1"/>
  <c r="K85" i="13"/>
  <c r="L78" i="13"/>
  <c r="O78" i="13" s="1"/>
  <c r="O80" i="13"/>
  <c r="P77" i="13"/>
  <c r="L74" i="13"/>
  <c r="O74" i="13" s="1"/>
  <c r="N285" i="13"/>
  <c r="I281" i="13"/>
  <c r="K281" i="13" s="1"/>
  <c r="P19" i="13"/>
  <c r="O364" i="12"/>
  <c r="P382" i="13"/>
  <c r="O378" i="13"/>
  <c r="P357" i="13"/>
  <c r="P334" i="13"/>
  <c r="P311" i="13"/>
  <c r="P274" i="13"/>
  <c r="L233" i="13"/>
  <c r="P194" i="13"/>
  <c r="L145" i="13"/>
  <c r="O145" i="13" s="1"/>
  <c r="I137" i="13"/>
  <c r="K137" i="13" s="1"/>
  <c r="O73" i="13"/>
  <c r="M61" i="13"/>
  <c r="N26" i="13"/>
  <c r="N24" i="13" s="1"/>
  <c r="N176" i="13"/>
  <c r="I172" i="13"/>
  <c r="K172" i="13" s="1"/>
  <c r="N160" i="13"/>
  <c r="K369" i="12"/>
  <c r="P321" i="13"/>
  <c r="M305" i="13"/>
  <c r="L288" i="13"/>
  <c r="O288" i="13" s="1"/>
  <c r="M268" i="13"/>
  <c r="M188" i="13"/>
  <c r="L179" i="13"/>
  <c r="O179" i="13" s="1"/>
  <c r="L163" i="13"/>
  <c r="O163" i="13" s="1"/>
  <c r="M26" i="13"/>
  <c r="P26" i="13" s="1"/>
  <c r="P47" i="13"/>
  <c r="O311" i="11"/>
  <c r="N74" i="12"/>
  <c r="N72" i="12" s="1"/>
  <c r="P287" i="13"/>
  <c r="P178" i="13"/>
  <c r="P162" i="13"/>
  <c r="N141" i="13"/>
  <c r="N139" i="13" s="1"/>
  <c r="M97" i="13"/>
  <c r="P97" i="13" s="1"/>
  <c r="P99" i="13"/>
  <c r="I82" i="13"/>
  <c r="L75" i="13"/>
  <c r="O75" i="13" s="1"/>
  <c r="O77" i="13"/>
  <c r="P73" i="13"/>
  <c r="O47" i="13"/>
  <c r="N19" i="13"/>
  <c r="O52" i="13"/>
  <c r="O49" i="13"/>
  <c r="P25" i="13"/>
  <c r="N23" i="13"/>
  <c r="N46" i="13"/>
  <c r="N44" i="13" s="1"/>
  <c r="M23" i="13"/>
  <c r="N50" i="13"/>
  <c r="M46" i="13"/>
  <c r="M44" i="13" s="1"/>
  <c r="L23" i="13"/>
  <c r="M50" i="13"/>
  <c r="P50" i="13" s="1"/>
  <c r="L46" i="13"/>
  <c r="O22" i="13"/>
  <c r="L234" i="12"/>
  <c r="I83" i="12"/>
  <c r="I71" i="12" s="1"/>
  <c r="K71" i="12" s="1"/>
  <c r="L254" i="12"/>
  <c r="O254" i="12" s="1"/>
  <c r="L335" i="12"/>
  <c r="L333" i="12" s="1"/>
  <c r="L236" i="12"/>
  <c r="L214" i="12"/>
  <c r="O214" i="12" s="1"/>
  <c r="L128" i="12"/>
  <c r="O128" i="12" s="1"/>
  <c r="P364" i="12"/>
  <c r="K220" i="12"/>
  <c r="O194" i="12"/>
  <c r="O142" i="12"/>
  <c r="O287" i="12"/>
  <c r="L284" i="12"/>
  <c r="O284" i="12" s="1"/>
  <c r="K209" i="12"/>
  <c r="I202" i="12"/>
  <c r="K202" i="12" s="1"/>
  <c r="L272" i="12"/>
  <c r="O272" i="12" s="1"/>
  <c r="O274" i="12"/>
  <c r="L188" i="12"/>
  <c r="L186" i="12" s="1"/>
  <c r="O191" i="12"/>
  <c r="K371" i="12"/>
  <c r="M358" i="12"/>
  <c r="M356" i="12" s="1"/>
  <c r="L326" i="12"/>
  <c r="O326" i="12" s="1"/>
  <c r="O102" i="12"/>
  <c r="I82" i="12"/>
  <c r="K82" i="12" s="1"/>
  <c r="L268" i="12"/>
  <c r="O268" i="12" s="1"/>
  <c r="L358" i="12"/>
  <c r="L356" i="12" s="1"/>
  <c r="P325" i="12"/>
  <c r="P287" i="12"/>
  <c r="M284" i="12"/>
  <c r="P284" i="12" s="1"/>
  <c r="L235" i="12"/>
  <c r="J332" i="12"/>
  <c r="K332" i="12" s="1"/>
  <c r="O341" i="12"/>
  <c r="P338" i="12"/>
  <c r="N284" i="12"/>
  <c r="N282" i="12" s="1"/>
  <c r="L175" i="12"/>
  <c r="L173" i="12" s="1"/>
  <c r="L96" i="12"/>
  <c r="L94" i="12" s="1"/>
  <c r="O94" i="12" s="1"/>
  <c r="I365" i="12"/>
  <c r="K365" i="12" s="1"/>
  <c r="N305" i="12"/>
  <c r="N303" i="12" s="1"/>
  <c r="P144" i="12"/>
  <c r="N61" i="12"/>
  <c r="N59" i="12" s="1"/>
  <c r="P338" i="11"/>
  <c r="O385" i="12"/>
  <c r="J343" i="12"/>
  <c r="N322" i="12"/>
  <c r="N320" i="12" s="1"/>
  <c r="L323" i="12"/>
  <c r="O323" i="12" s="1"/>
  <c r="O311" i="12"/>
  <c r="O271" i="12"/>
  <c r="L222" i="12"/>
  <c r="O222" i="12" s="1"/>
  <c r="L189" i="12"/>
  <c r="O189" i="12" s="1"/>
  <c r="K152" i="12"/>
  <c r="P147" i="12"/>
  <c r="M141" i="12"/>
  <c r="M139" i="12" s="1"/>
  <c r="M127" i="12"/>
  <c r="P127" i="12" s="1"/>
  <c r="L127" i="12"/>
  <c r="O127" i="12" s="1"/>
  <c r="N96" i="12"/>
  <c r="N94" i="12" s="1"/>
  <c r="L61" i="12"/>
  <c r="L59" i="12" s="1"/>
  <c r="K249" i="11"/>
  <c r="O338" i="12"/>
  <c r="P323" i="12"/>
  <c r="L322" i="12"/>
  <c r="L320" i="12" s="1"/>
  <c r="N268" i="12"/>
  <c r="N266" i="12" s="1"/>
  <c r="L269" i="12"/>
  <c r="O269" i="12" s="1"/>
  <c r="L243" i="12"/>
  <c r="K229" i="12"/>
  <c r="P189" i="12"/>
  <c r="K183" i="12"/>
  <c r="P162" i="12"/>
  <c r="M159" i="12"/>
  <c r="P159" i="12" s="1"/>
  <c r="I156" i="12"/>
  <c r="K156" i="12" s="1"/>
  <c r="K137" i="12"/>
  <c r="O147" i="12"/>
  <c r="O144" i="12"/>
  <c r="I136" i="12"/>
  <c r="K136" i="12" s="1"/>
  <c r="O99" i="12"/>
  <c r="K85" i="12"/>
  <c r="O67" i="12"/>
  <c r="M339" i="12"/>
  <c r="P339" i="12" s="1"/>
  <c r="L203" i="12"/>
  <c r="O203" i="12" s="1"/>
  <c r="O382" i="12"/>
  <c r="O361" i="12"/>
  <c r="M359" i="12"/>
  <c r="L336" i="12"/>
  <c r="O308" i="12"/>
  <c r="N306" i="12"/>
  <c r="K221" i="12"/>
  <c r="O187" i="12"/>
  <c r="P178" i="12"/>
  <c r="M175" i="12"/>
  <c r="N159" i="12"/>
  <c r="N157" i="12" s="1"/>
  <c r="L159" i="12"/>
  <c r="O159" i="12" s="1"/>
  <c r="P133" i="12"/>
  <c r="K109" i="12"/>
  <c r="L97" i="12"/>
  <c r="O97" i="12" s="1"/>
  <c r="I92" i="12"/>
  <c r="K92" i="12" s="1"/>
  <c r="L19" i="12"/>
  <c r="O19" i="12" s="1"/>
  <c r="K138" i="12"/>
  <c r="N379" i="12"/>
  <c r="N377" i="12" s="1"/>
  <c r="L380" i="12"/>
  <c r="O380" i="12" s="1"/>
  <c r="K368" i="12"/>
  <c r="P361" i="12"/>
  <c r="L359" i="12"/>
  <c r="M335" i="12"/>
  <c r="M333" i="12" s="1"/>
  <c r="P328" i="12"/>
  <c r="L306" i="12"/>
  <c r="O306" i="12" s="1"/>
  <c r="K292" i="12"/>
  <c r="N175" i="12"/>
  <c r="N173" i="12" s="1"/>
  <c r="L131" i="12"/>
  <c r="O131" i="12" s="1"/>
  <c r="K84" i="12"/>
  <c r="P80" i="12"/>
  <c r="P77" i="12"/>
  <c r="O64" i="12"/>
  <c r="N62" i="12"/>
  <c r="O62" i="12" s="1"/>
  <c r="P49" i="12"/>
  <c r="K242" i="12"/>
  <c r="I231" i="12"/>
  <c r="M97" i="12"/>
  <c r="P97" i="12" s="1"/>
  <c r="P99" i="12"/>
  <c r="L75" i="12"/>
  <c r="O75" i="12" s="1"/>
  <c r="O77" i="12"/>
  <c r="P73" i="12"/>
  <c r="N74" i="11"/>
  <c r="N72" i="11" s="1"/>
  <c r="N380" i="12"/>
  <c r="M379" i="12"/>
  <c r="P379" i="12" s="1"/>
  <c r="N358" i="12"/>
  <c r="N356" i="12" s="1"/>
  <c r="N335" i="12"/>
  <c r="N333" i="12" s="1"/>
  <c r="N285" i="12"/>
  <c r="N192" i="12"/>
  <c r="N176" i="12"/>
  <c r="P176" i="12" s="1"/>
  <c r="N160" i="12"/>
  <c r="N78" i="12"/>
  <c r="O60" i="12"/>
  <c r="K260" i="11"/>
  <c r="M383" i="12"/>
  <c r="P383" i="12" s="1"/>
  <c r="M380" i="12"/>
  <c r="P380" i="12" s="1"/>
  <c r="N359" i="12"/>
  <c r="N336" i="12"/>
  <c r="P290" i="12"/>
  <c r="K260" i="12"/>
  <c r="I238" i="12"/>
  <c r="K238" i="12" s="1"/>
  <c r="P181" i="12"/>
  <c r="P165" i="12"/>
  <c r="N141" i="12"/>
  <c r="N139" i="12" s="1"/>
  <c r="M100" i="12"/>
  <c r="P100" i="12" s="1"/>
  <c r="P102" i="12"/>
  <c r="N100" i="12"/>
  <c r="M74" i="12"/>
  <c r="P74" i="12" s="1"/>
  <c r="P378" i="12"/>
  <c r="M322" i="12"/>
  <c r="I319" i="12"/>
  <c r="K319" i="12" s="1"/>
  <c r="P308" i="12"/>
  <c r="L285" i="12"/>
  <c r="O285" i="12" s="1"/>
  <c r="O283" i="12"/>
  <c r="I280" i="12"/>
  <c r="K280" i="12" s="1"/>
  <c r="P271" i="12"/>
  <c r="I195" i="12"/>
  <c r="K195" i="12" s="1"/>
  <c r="P191" i="12"/>
  <c r="O178" i="12"/>
  <c r="L176" i="12"/>
  <c r="O174" i="12"/>
  <c r="L160" i="12"/>
  <c r="O160" i="12" s="1"/>
  <c r="O158" i="12"/>
  <c r="L141" i="12"/>
  <c r="N127" i="12"/>
  <c r="N125" i="12" s="1"/>
  <c r="L78" i="12"/>
  <c r="O78" i="12" s="1"/>
  <c r="O80" i="12"/>
  <c r="L74" i="12"/>
  <c r="O74" i="12" s="1"/>
  <c r="P67" i="12"/>
  <c r="P64" i="12"/>
  <c r="M62" i="12"/>
  <c r="M61" i="12"/>
  <c r="N26" i="12"/>
  <c r="N24" i="12" s="1"/>
  <c r="L26" i="12"/>
  <c r="P290" i="11"/>
  <c r="P144" i="11"/>
  <c r="P311" i="12"/>
  <c r="P274" i="12"/>
  <c r="L233" i="12"/>
  <c r="P194" i="12"/>
  <c r="P140" i="12"/>
  <c r="M96" i="12"/>
  <c r="P96" i="12" s="1"/>
  <c r="O73" i="12"/>
  <c r="M26" i="12"/>
  <c r="P26" i="12" s="1"/>
  <c r="P47" i="12"/>
  <c r="P19" i="12"/>
  <c r="M284" i="11"/>
  <c r="P284" i="11" s="1"/>
  <c r="P321" i="12"/>
  <c r="M305" i="12"/>
  <c r="I302" i="12"/>
  <c r="K302" i="12" s="1"/>
  <c r="L288" i="12"/>
  <c r="O288" i="12" s="1"/>
  <c r="M268" i="12"/>
  <c r="K249" i="12"/>
  <c r="M188" i="12"/>
  <c r="L179" i="12"/>
  <c r="O179" i="12" s="1"/>
  <c r="L163" i="12"/>
  <c r="O163" i="12" s="1"/>
  <c r="P142" i="12"/>
  <c r="O47" i="12"/>
  <c r="N19" i="12"/>
  <c r="O52" i="12"/>
  <c r="O49" i="12"/>
  <c r="P25" i="12"/>
  <c r="N23" i="12"/>
  <c r="N46" i="12"/>
  <c r="N44" i="12" s="1"/>
  <c r="M23" i="12"/>
  <c r="N50" i="12"/>
  <c r="M46" i="12"/>
  <c r="L23" i="12"/>
  <c r="M50" i="12"/>
  <c r="P50" i="12" s="1"/>
  <c r="L46" i="12"/>
  <c r="O22" i="12"/>
  <c r="K344" i="11"/>
  <c r="L305" i="11"/>
  <c r="O305" i="11" s="1"/>
  <c r="I238" i="11"/>
  <c r="K238" i="11" s="1"/>
  <c r="O194" i="11"/>
  <c r="M188" i="11"/>
  <c r="M186" i="11" s="1"/>
  <c r="K183" i="11"/>
  <c r="K169" i="10"/>
  <c r="M383" i="11"/>
  <c r="P383" i="11" s="1"/>
  <c r="K346" i="11"/>
  <c r="M322" i="11"/>
  <c r="P322" i="11" s="1"/>
  <c r="K220" i="11"/>
  <c r="I213" i="11"/>
  <c r="K213" i="11" s="1"/>
  <c r="M128" i="11"/>
  <c r="P128" i="11" s="1"/>
  <c r="P130" i="11"/>
  <c r="N61" i="11"/>
  <c r="N59" i="11" s="1"/>
  <c r="O64" i="11"/>
  <c r="M326" i="11"/>
  <c r="P326" i="11" s="1"/>
  <c r="P328" i="11"/>
  <c r="M269" i="11"/>
  <c r="P269" i="11" s="1"/>
  <c r="P271" i="11"/>
  <c r="L128" i="11"/>
  <c r="O128" i="11" s="1"/>
  <c r="L127" i="11"/>
  <c r="L125" i="11" s="1"/>
  <c r="O125" i="11" s="1"/>
  <c r="O130" i="11"/>
  <c r="L326" i="11"/>
  <c r="O326" i="11" s="1"/>
  <c r="O328" i="11"/>
  <c r="M65" i="11"/>
  <c r="P65" i="11" s="1"/>
  <c r="P67" i="11"/>
  <c r="K369" i="11"/>
  <c r="P361" i="11"/>
  <c r="L272" i="11"/>
  <c r="O272" i="11" s="1"/>
  <c r="O274" i="11"/>
  <c r="O361" i="11"/>
  <c r="P99" i="11"/>
  <c r="M97" i="11"/>
  <c r="P97" i="11" s="1"/>
  <c r="L306" i="11"/>
  <c r="O306" i="11" s="1"/>
  <c r="N284" i="11"/>
  <c r="N282" i="11" s="1"/>
  <c r="L268" i="11"/>
  <c r="L266" i="11" s="1"/>
  <c r="O266" i="11" s="1"/>
  <c r="M305" i="11"/>
  <c r="P305" i="11" s="1"/>
  <c r="P181" i="11"/>
  <c r="L141" i="11"/>
  <c r="L139" i="11" s="1"/>
  <c r="I231" i="11"/>
  <c r="K231" i="11" s="1"/>
  <c r="K242" i="11"/>
  <c r="O341" i="10"/>
  <c r="N322" i="10"/>
  <c r="N320" i="10" s="1"/>
  <c r="M379" i="11"/>
  <c r="P379" i="11" s="1"/>
  <c r="J351" i="11"/>
  <c r="O338" i="11"/>
  <c r="P325" i="11"/>
  <c r="P308" i="11"/>
  <c r="O304" i="11"/>
  <c r="K292" i="11"/>
  <c r="O271" i="11"/>
  <c r="L254" i="11"/>
  <c r="O254" i="11" s="1"/>
  <c r="L235" i="11"/>
  <c r="N175" i="11"/>
  <c r="N173" i="11" s="1"/>
  <c r="M175" i="11"/>
  <c r="M173" i="11" s="1"/>
  <c r="K138" i="11"/>
  <c r="P147" i="11"/>
  <c r="P133" i="11"/>
  <c r="M127" i="11"/>
  <c r="P127" i="11" s="1"/>
  <c r="K109" i="11"/>
  <c r="P80" i="11"/>
  <c r="P77" i="11"/>
  <c r="M74" i="11"/>
  <c r="P74" i="11" s="1"/>
  <c r="O67" i="11"/>
  <c r="L61" i="11"/>
  <c r="P49" i="11"/>
  <c r="N358" i="11"/>
  <c r="N356" i="11" s="1"/>
  <c r="M358" i="11"/>
  <c r="M356" i="11" s="1"/>
  <c r="K330" i="11"/>
  <c r="O325" i="11"/>
  <c r="O308" i="11"/>
  <c r="L269" i="11"/>
  <c r="O269" i="11" s="1"/>
  <c r="L234" i="11"/>
  <c r="L214" i="11"/>
  <c r="O214" i="11" s="1"/>
  <c r="L203" i="11"/>
  <c r="O203" i="11" s="1"/>
  <c r="P191" i="11"/>
  <c r="O178" i="11"/>
  <c r="K152" i="11"/>
  <c r="O147" i="11"/>
  <c r="O133" i="11"/>
  <c r="I83" i="11"/>
  <c r="I71" i="11" s="1"/>
  <c r="K71" i="11" s="1"/>
  <c r="L236" i="11"/>
  <c r="L96" i="11"/>
  <c r="O96" i="11" s="1"/>
  <c r="J343" i="11"/>
  <c r="M323" i="11"/>
  <c r="P323" i="11" s="1"/>
  <c r="I280" i="11"/>
  <c r="K280" i="11" s="1"/>
  <c r="I221" i="11"/>
  <c r="K221" i="11" s="1"/>
  <c r="O189" i="11"/>
  <c r="P142" i="11"/>
  <c r="P64" i="11"/>
  <c r="J351" i="10"/>
  <c r="K371" i="11"/>
  <c r="N322" i="11"/>
  <c r="N320" i="11" s="1"/>
  <c r="P165" i="11"/>
  <c r="I156" i="11"/>
  <c r="K156" i="11" s="1"/>
  <c r="I92" i="11"/>
  <c r="K92" i="11" s="1"/>
  <c r="I82" i="11"/>
  <c r="I70" i="11" s="1"/>
  <c r="K70" i="11" s="1"/>
  <c r="L19" i="11"/>
  <c r="O19" i="11" s="1"/>
  <c r="I136" i="11"/>
  <c r="K136" i="11" s="1"/>
  <c r="K369" i="10"/>
  <c r="N335" i="11"/>
  <c r="N333" i="11" s="1"/>
  <c r="M268" i="11"/>
  <c r="P268" i="11" s="1"/>
  <c r="L188" i="11"/>
  <c r="L186" i="11" s="1"/>
  <c r="K172" i="11"/>
  <c r="N159" i="11"/>
  <c r="N157" i="11" s="1"/>
  <c r="M159" i="11"/>
  <c r="P159" i="11" s="1"/>
  <c r="M141" i="11"/>
  <c r="M139" i="11" s="1"/>
  <c r="N62" i="11"/>
  <c r="P62" i="11" s="1"/>
  <c r="M19" i="11"/>
  <c r="P189" i="11"/>
  <c r="L243" i="11"/>
  <c r="M176" i="11"/>
  <c r="P176" i="11" s="1"/>
  <c r="L78" i="11"/>
  <c r="O78" i="11" s="1"/>
  <c r="N23" i="11"/>
  <c r="N21" i="11" s="1"/>
  <c r="N47" i="11"/>
  <c r="L383" i="11"/>
  <c r="O383" i="11" s="1"/>
  <c r="L380" i="11"/>
  <c r="O380" i="11" s="1"/>
  <c r="M362" i="11"/>
  <c r="P362" i="11" s="1"/>
  <c r="M359" i="11"/>
  <c r="P359" i="11" s="1"/>
  <c r="L358" i="11"/>
  <c r="M339" i="11"/>
  <c r="P339" i="11" s="1"/>
  <c r="M336" i="11"/>
  <c r="P336" i="11" s="1"/>
  <c r="L335" i="11"/>
  <c r="J332" i="11"/>
  <c r="N288" i="11"/>
  <c r="L285" i="11"/>
  <c r="O285" i="11" s="1"/>
  <c r="L222" i="11"/>
  <c r="O222" i="11" s="1"/>
  <c r="I195" i="11"/>
  <c r="K195" i="11" s="1"/>
  <c r="N179" i="11"/>
  <c r="L176" i="11"/>
  <c r="O176" i="11" s="1"/>
  <c r="N163" i="11"/>
  <c r="L160" i="11"/>
  <c r="O160" i="11" s="1"/>
  <c r="L142" i="11"/>
  <c r="O142" i="11" s="1"/>
  <c r="M100" i="11"/>
  <c r="P100" i="11" s="1"/>
  <c r="L97" i="11"/>
  <c r="O97" i="11" s="1"/>
  <c r="L74" i="11"/>
  <c r="O74" i="11" s="1"/>
  <c r="M47" i="11"/>
  <c r="L26" i="11"/>
  <c r="M285" i="11"/>
  <c r="P285" i="11" s="1"/>
  <c r="N26" i="11"/>
  <c r="N24" i="11" s="1"/>
  <c r="P382" i="11"/>
  <c r="I365" i="11"/>
  <c r="K365" i="11" s="1"/>
  <c r="L362" i="11"/>
  <c r="O362" i="11" s="1"/>
  <c r="L359" i="11"/>
  <c r="O359" i="11" s="1"/>
  <c r="L339" i="11"/>
  <c r="O339" i="11" s="1"/>
  <c r="L336" i="11"/>
  <c r="O336" i="11" s="1"/>
  <c r="I332" i="11"/>
  <c r="L322" i="11"/>
  <c r="O322" i="11" s="1"/>
  <c r="P311" i="11"/>
  <c r="N305" i="11"/>
  <c r="N303" i="11" s="1"/>
  <c r="P274" i="11"/>
  <c r="N268" i="11"/>
  <c r="N266" i="11" s="1"/>
  <c r="L233" i="11"/>
  <c r="P194" i="11"/>
  <c r="O191" i="11"/>
  <c r="N188" i="11"/>
  <c r="N186" i="11" s="1"/>
  <c r="K153" i="11"/>
  <c r="L100" i="11"/>
  <c r="O100" i="11" s="1"/>
  <c r="O73" i="11"/>
  <c r="L47" i="11"/>
  <c r="L23" i="11"/>
  <c r="L21" i="11" s="1"/>
  <c r="O49" i="11"/>
  <c r="P45" i="11"/>
  <c r="L379" i="11"/>
  <c r="M335" i="11"/>
  <c r="M160" i="11"/>
  <c r="P160" i="11" s="1"/>
  <c r="O357" i="11"/>
  <c r="O334" i="11"/>
  <c r="I302" i="11"/>
  <c r="K302" i="11" s="1"/>
  <c r="L288" i="11"/>
  <c r="O288" i="11" s="1"/>
  <c r="L179" i="11"/>
  <c r="O179" i="11" s="1"/>
  <c r="L163" i="11"/>
  <c r="O163" i="11" s="1"/>
  <c r="O99" i="11"/>
  <c r="N96" i="11"/>
  <c r="N94" i="11" s="1"/>
  <c r="N46" i="11"/>
  <c r="N44" i="11" s="1"/>
  <c r="M23" i="11"/>
  <c r="O144" i="10"/>
  <c r="N379" i="11"/>
  <c r="N377" i="11" s="1"/>
  <c r="P304" i="11"/>
  <c r="P287" i="11"/>
  <c r="P267" i="11"/>
  <c r="P187" i="11"/>
  <c r="P178" i="11"/>
  <c r="P162" i="11"/>
  <c r="O144" i="11"/>
  <c r="N141" i="11"/>
  <c r="N139" i="11" s="1"/>
  <c r="M96" i="11"/>
  <c r="N78" i="11"/>
  <c r="L75" i="11"/>
  <c r="O75" i="11" s="1"/>
  <c r="O77" i="11"/>
  <c r="P73" i="11"/>
  <c r="M26" i="11"/>
  <c r="P26" i="11" s="1"/>
  <c r="M50" i="11"/>
  <c r="P50" i="11" s="1"/>
  <c r="M46" i="11"/>
  <c r="P19" i="11"/>
  <c r="L284" i="11"/>
  <c r="O284" i="11" s="1"/>
  <c r="K209" i="11"/>
  <c r="L175" i="11"/>
  <c r="L159" i="11"/>
  <c r="O159" i="11" s="1"/>
  <c r="N127" i="11"/>
  <c r="N125" i="11" s="1"/>
  <c r="K85" i="11"/>
  <c r="M61" i="11"/>
  <c r="L50" i="11"/>
  <c r="O50" i="11" s="1"/>
  <c r="O52" i="11"/>
  <c r="L46" i="11"/>
  <c r="N19" i="11"/>
  <c r="P25" i="11"/>
  <c r="O22" i="11"/>
  <c r="K371" i="10"/>
  <c r="K154" i="10"/>
  <c r="P382" i="10"/>
  <c r="J343" i="10"/>
  <c r="O194" i="10"/>
  <c r="O382" i="10"/>
  <c r="O189" i="10"/>
  <c r="I93" i="10"/>
  <c r="K93" i="10" s="1"/>
  <c r="K346" i="10"/>
  <c r="L358" i="10"/>
  <c r="L356" i="10" s="1"/>
  <c r="L305" i="10"/>
  <c r="L222" i="10"/>
  <c r="O222" i="10" s="1"/>
  <c r="I213" i="10"/>
  <c r="K213" i="10" s="1"/>
  <c r="P162" i="10"/>
  <c r="P133" i="10"/>
  <c r="M46" i="10"/>
  <c r="M44" i="10" s="1"/>
  <c r="L65" i="10"/>
  <c r="O65" i="10" s="1"/>
  <c r="O67" i="10"/>
  <c r="P364" i="10"/>
  <c r="K344" i="10"/>
  <c r="L335" i="10"/>
  <c r="L333" i="10" s="1"/>
  <c r="L288" i="10"/>
  <c r="O288" i="10" s="1"/>
  <c r="I281" i="10"/>
  <c r="K281" i="10" s="1"/>
  <c r="L188" i="10"/>
  <c r="P147" i="10"/>
  <c r="O133" i="10"/>
  <c r="O364" i="10"/>
  <c r="P341" i="10"/>
  <c r="O311" i="10"/>
  <c r="O274" i="10"/>
  <c r="K152" i="10"/>
  <c r="P144" i="10"/>
  <c r="I82" i="10"/>
  <c r="I70" i="10" s="1"/>
  <c r="K70" i="10" s="1"/>
  <c r="L235" i="9"/>
  <c r="M284" i="10"/>
  <c r="P284" i="10" s="1"/>
  <c r="N268" i="10"/>
  <c r="N266" i="10" s="1"/>
  <c r="L100" i="10"/>
  <c r="O100" i="10" s="1"/>
  <c r="N326" i="10"/>
  <c r="I238" i="10"/>
  <c r="K238" i="10" s="1"/>
  <c r="M127" i="10"/>
  <c r="P127" i="10" s="1"/>
  <c r="L61" i="10"/>
  <c r="L59" i="10" s="1"/>
  <c r="P49" i="10"/>
  <c r="P47" i="10"/>
  <c r="I83" i="10"/>
  <c r="I71" i="10" s="1"/>
  <c r="K71" i="10" s="1"/>
  <c r="L236" i="10"/>
  <c r="J351" i="9"/>
  <c r="K346" i="9"/>
  <c r="L268" i="9"/>
  <c r="O268" i="9" s="1"/>
  <c r="P385" i="10"/>
  <c r="M379" i="10"/>
  <c r="M377" i="10" s="1"/>
  <c r="P377" i="10" s="1"/>
  <c r="P361" i="10"/>
  <c r="J332" i="10"/>
  <c r="P338" i="10"/>
  <c r="M322" i="10"/>
  <c r="P322" i="10" s="1"/>
  <c r="L322" i="10"/>
  <c r="O322" i="10" s="1"/>
  <c r="N305" i="10"/>
  <c r="N303" i="10" s="1"/>
  <c r="P290" i="10"/>
  <c r="O271" i="10"/>
  <c r="I242" i="10"/>
  <c r="K242" i="10" s="1"/>
  <c r="O191" i="10"/>
  <c r="K183" i="10"/>
  <c r="L175" i="10"/>
  <c r="L173" i="10" s="1"/>
  <c r="M159" i="10"/>
  <c r="P159" i="10" s="1"/>
  <c r="O147" i="10"/>
  <c r="M141" i="10"/>
  <c r="P141" i="10" s="1"/>
  <c r="P130" i="10"/>
  <c r="N96" i="10"/>
  <c r="N94" i="10" s="1"/>
  <c r="P52" i="10"/>
  <c r="L141" i="9"/>
  <c r="O141" i="9" s="1"/>
  <c r="O385" i="10"/>
  <c r="O361" i="10"/>
  <c r="O338" i="10"/>
  <c r="L254" i="10"/>
  <c r="O254" i="10" s="1"/>
  <c r="N188" i="10"/>
  <c r="N186" i="10" s="1"/>
  <c r="O130" i="10"/>
  <c r="O64" i="10"/>
  <c r="K368" i="10"/>
  <c r="L235" i="10"/>
  <c r="M175" i="10"/>
  <c r="M173" i="10" s="1"/>
  <c r="M74" i="10"/>
  <c r="P74" i="10" s="1"/>
  <c r="I365" i="10"/>
  <c r="K365" i="10" s="1"/>
  <c r="N358" i="10"/>
  <c r="N356" i="10" s="1"/>
  <c r="L359" i="10"/>
  <c r="O359" i="10" s="1"/>
  <c r="N335" i="10"/>
  <c r="N333" i="10" s="1"/>
  <c r="L336" i="10"/>
  <c r="O336" i="10" s="1"/>
  <c r="I332" i="10"/>
  <c r="O308" i="10"/>
  <c r="P287" i="10"/>
  <c r="M285" i="10"/>
  <c r="P285" i="10" s="1"/>
  <c r="P181" i="10"/>
  <c r="L96" i="10"/>
  <c r="O96" i="10" s="1"/>
  <c r="P80" i="10"/>
  <c r="N61" i="10"/>
  <c r="L62" i="10"/>
  <c r="O62" i="10" s="1"/>
  <c r="M19" i="10"/>
  <c r="L203" i="10"/>
  <c r="O203" i="10" s="1"/>
  <c r="M379" i="9"/>
  <c r="P379" i="9" s="1"/>
  <c r="P359" i="10"/>
  <c r="P336" i="10"/>
  <c r="K330" i="10"/>
  <c r="L285" i="10"/>
  <c r="O285" i="10" s="1"/>
  <c r="N232" i="10"/>
  <c r="P178" i="10"/>
  <c r="M176" i="10"/>
  <c r="P176" i="10" s="1"/>
  <c r="P165" i="10"/>
  <c r="K153" i="10"/>
  <c r="M128" i="10"/>
  <c r="P128" i="10" s="1"/>
  <c r="K87" i="10"/>
  <c r="K84" i="10"/>
  <c r="P77" i="10"/>
  <c r="M75" i="10"/>
  <c r="P75" i="10" s="1"/>
  <c r="P311" i="10"/>
  <c r="M309" i="10"/>
  <c r="P309" i="10" s="1"/>
  <c r="P274" i="10"/>
  <c r="M272" i="10"/>
  <c r="P272" i="10" s="1"/>
  <c r="M268" i="10"/>
  <c r="P268" i="10" s="1"/>
  <c r="O187" i="10"/>
  <c r="P126" i="10"/>
  <c r="N268" i="9"/>
  <c r="N266" i="9" s="1"/>
  <c r="M326" i="10"/>
  <c r="P326" i="10" s="1"/>
  <c r="M323" i="10"/>
  <c r="P323" i="10" s="1"/>
  <c r="L214" i="10"/>
  <c r="O214" i="10" s="1"/>
  <c r="P191" i="10"/>
  <c r="M189" i="10"/>
  <c r="P189" i="10" s="1"/>
  <c r="N141" i="10"/>
  <c r="N139" i="10" s="1"/>
  <c r="P64" i="10"/>
  <c r="M62" i="10"/>
  <c r="P62" i="10" s="1"/>
  <c r="M61" i="10"/>
  <c r="L127" i="9"/>
  <c r="O127" i="9" s="1"/>
  <c r="N379" i="10"/>
  <c r="N377" i="10" s="1"/>
  <c r="L326" i="10"/>
  <c r="O326" i="10" s="1"/>
  <c r="L323" i="10"/>
  <c r="O323" i="10" s="1"/>
  <c r="M305" i="10"/>
  <c r="I221" i="10"/>
  <c r="K221" i="10" s="1"/>
  <c r="L163" i="10"/>
  <c r="O163" i="10" s="1"/>
  <c r="O165" i="10"/>
  <c r="L159" i="10"/>
  <c r="O159" i="10" s="1"/>
  <c r="O19" i="10"/>
  <c r="O338" i="9"/>
  <c r="P325" i="9"/>
  <c r="P287" i="9"/>
  <c r="P178" i="9"/>
  <c r="P99" i="9"/>
  <c r="P325" i="10"/>
  <c r="P271" i="10"/>
  <c r="M269" i="10"/>
  <c r="P269" i="10" s="1"/>
  <c r="N269" i="10"/>
  <c r="I253" i="10"/>
  <c r="I202" i="10"/>
  <c r="K202" i="10" s="1"/>
  <c r="K209" i="10"/>
  <c r="P194" i="10"/>
  <c r="M192" i="10"/>
  <c r="P192" i="10" s="1"/>
  <c r="M188" i="10"/>
  <c r="L179" i="10"/>
  <c r="O179" i="10" s="1"/>
  <c r="O181" i="10"/>
  <c r="L160" i="10"/>
  <c r="O160" i="10" s="1"/>
  <c r="O162" i="10"/>
  <c r="N26" i="10"/>
  <c r="N24" i="10" s="1"/>
  <c r="N131" i="10"/>
  <c r="N127" i="10"/>
  <c r="N125" i="10" s="1"/>
  <c r="O47" i="10"/>
  <c r="L26" i="10"/>
  <c r="P162" i="9"/>
  <c r="L379" i="10"/>
  <c r="M358" i="10"/>
  <c r="M335" i="10"/>
  <c r="O321" i="10"/>
  <c r="P308" i="10"/>
  <c r="M306" i="10"/>
  <c r="P306" i="10" s="1"/>
  <c r="L284" i="10"/>
  <c r="O284" i="10" s="1"/>
  <c r="L234" i="10"/>
  <c r="L243" i="10"/>
  <c r="L176" i="10"/>
  <c r="O176" i="10" s="1"/>
  <c r="O178" i="10"/>
  <c r="P140" i="10"/>
  <c r="M26" i="10"/>
  <c r="P26" i="10" s="1"/>
  <c r="P67" i="10"/>
  <c r="M65" i="10"/>
  <c r="P65" i="10" s="1"/>
  <c r="O60" i="10"/>
  <c r="K260" i="10"/>
  <c r="L233" i="10"/>
  <c r="K108" i="10"/>
  <c r="I92" i="10"/>
  <c r="K92" i="10" s="1"/>
  <c r="P19" i="10"/>
  <c r="N19" i="10"/>
  <c r="K314" i="10"/>
  <c r="K293" i="10"/>
  <c r="L268" i="10"/>
  <c r="K230" i="10"/>
  <c r="K198" i="10"/>
  <c r="P102" i="10"/>
  <c r="P99" i="10"/>
  <c r="O95" i="10"/>
  <c r="O80" i="10"/>
  <c r="O77" i="10"/>
  <c r="O52" i="10"/>
  <c r="O49" i="10"/>
  <c r="P25" i="10"/>
  <c r="N23" i="10"/>
  <c r="N284" i="10"/>
  <c r="N282" i="10" s="1"/>
  <c r="N175" i="10"/>
  <c r="N159" i="10"/>
  <c r="N157" i="10" s="1"/>
  <c r="L141" i="10"/>
  <c r="L127" i="10"/>
  <c r="O99" i="10"/>
  <c r="N74" i="10"/>
  <c r="N72" i="10" s="1"/>
  <c r="N46" i="10"/>
  <c r="O25" i="10"/>
  <c r="M23" i="10"/>
  <c r="L23" i="10"/>
  <c r="M96" i="10"/>
  <c r="L74" i="10"/>
  <c r="L46" i="10"/>
  <c r="O46" i="10" s="1"/>
  <c r="L379" i="9"/>
  <c r="L377" i="9" s="1"/>
  <c r="O377" i="9" s="1"/>
  <c r="O361" i="9"/>
  <c r="O287" i="9"/>
  <c r="L236" i="9"/>
  <c r="K293" i="9"/>
  <c r="L233" i="9"/>
  <c r="O162" i="8"/>
  <c r="I319" i="9"/>
  <c r="K319" i="9" s="1"/>
  <c r="K198" i="9"/>
  <c r="P385" i="9"/>
  <c r="K346" i="7"/>
  <c r="L288" i="9"/>
  <c r="O288" i="9" s="1"/>
  <c r="K229" i="9"/>
  <c r="P64" i="9"/>
  <c r="L383" i="9"/>
  <c r="O383" i="9" s="1"/>
  <c r="L234" i="9"/>
  <c r="P191" i="9"/>
  <c r="O178" i="9"/>
  <c r="O99" i="9"/>
  <c r="M335" i="9"/>
  <c r="M333" i="9" s="1"/>
  <c r="L214" i="9"/>
  <c r="O214" i="9" s="1"/>
  <c r="O77" i="9"/>
  <c r="K369" i="9"/>
  <c r="M362" i="9"/>
  <c r="P362" i="9" s="1"/>
  <c r="L284" i="9"/>
  <c r="O284" i="9" s="1"/>
  <c r="L222" i="9"/>
  <c r="O222" i="9" s="1"/>
  <c r="K220" i="9"/>
  <c r="O165" i="9"/>
  <c r="M339" i="8"/>
  <c r="P339" i="8" s="1"/>
  <c r="I302" i="9"/>
  <c r="K302" i="9" s="1"/>
  <c r="M305" i="8"/>
  <c r="M303" i="8" s="1"/>
  <c r="K368" i="9"/>
  <c r="M358" i="9"/>
  <c r="M356" i="9" s="1"/>
  <c r="P328" i="9"/>
  <c r="L203" i="9"/>
  <c r="O203" i="9" s="1"/>
  <c r="O162" i="9"/>
  <c r="K153" i="9"/>
  <c r="J231" i="9"/>
  <c r="J185" i="9" s="1"/>
  <c r="K371" i="8"/>
  <c r="K368" i="8"/>
  <c r="L236" i="8"/>
  <c r="P382" i="9"/>
  <c r="M380" i="9"/>
  <c r="P380" i="9" s="1"/>
  <c r="J343" i="9"/>
  <c r="M339" i="9"/>
  <c r="P339" i="9" s="1"/>
  <c r="M322" i="9"/>
  <c r="P322" i="9" s="1"/>
  <c r="N305" i="9"/>
  <c r="N303" i="9" s="1"/>
  <c r="P290" i="9"/>
  <c r="O283" i="9"/>
  <c r="I242" i="9"/>
  <c r="K242" i="9" s="1"/>
  <c r="O191" i="9"/>
  <c r="P181" i="9"/>
  <c r="N141" i="9"/>
  <c r="N139" i="9" s="1"/>
  <c r="N127" i="9"/>
  <c r="N125" i="9" s="1"/>
  <c r="L380" i="9"/>
  <c r="O380" i="9" s="1"/>
  <c r="K371" i="9"/>
  <c r="N358" i="9"/>
  <c r="N356" i="9" s="1"/>
  <c r="M359" i="9"/>
  <c r="P359" i="9" s="1"/>
  <c r="N335" i="9"/>
  <c r="M336" i="9"/>
  <c r="P336" i="9" s="1"/>
  <c r="L243" i="9"/>
  <c r="O243" i="9" s="1"/>
  <c r="O181" i="9"/>
  <c r="P102" i="9"/>
  <c r="M96" i="9"/>
  <c r="I83" i="9"/>
  <c r="P80" i="9"/>
  <c r="O52" i="9"/>
  <c r="P49" i="9"/>
  <c r="O47" i="9"/>
  <c r="P378" i="9"/>
  <c r="P165" i="9"/>
  <c r="O102" i="9"/>
  <c r="L96" i="9"/>
  <c r="L94" i="9" s="1"/>
  <c r="O94" i="9" s="1"/>
  <c r="O80" i="9"/>
  <c r="P77" i="9"/>
  <c r="N61" i="9"/>
  <c r="N59" i="9" s="1"/>
  <c r="O49" i="9"/>
  <c r="L326" i="9"/>
  <c r="O326" i="9" s="1"/>
  <c r="L192" i="9"/>
  <c r="O192" i="9" s="1"/>
  <c r="I93" i="9"/>
  <c r="K93" i="9" s="1"/>
  <c r="N46" i="9"/>
  <c r="N44" i="9" s="1"/>
  <c r="N232" i="9"/>
  <c r="K195" i="9"/>
  <c r="N188" i="9"/>
  <c r="N186" i="9" s="1"/>
  <c r="M189" i="9"/>
  <c r="P189" i="9" s="1"/>
  <c r="K183" i="9"/>
  <c r="K154" i="9"/>
  <c r="I137" i="9"/>
  <c r="K137" i="9" s="1"/>
  <c r="P47" i="9"/>
  <c r="N306" i="9"/>
  <c r="N159" i="9"/>
  <c r="N157" i="9" s="1"/>
  <c r="O67" i="9"/>
  <c r="L65" i="9"/>
  <c r="O65" i="9" s="1"/>
  <c r="M322" i="8"/>
  <c r="P322" i="8" s="1"/>
  <c r="I365" i="9"/>
  <c r="K365" i="9" s="1"/>
  <c r="L362" i="9"/>
  <c r="O362" i="9" s="1"/>
  <c r="L359" i="9"/>
  <c r="O359" i="9" s="1"/>
  <c r="L339" i="9"/>
  <c r="O339" i="9" s="1"/>
  <c r="L322" i="9"/>
  <c r="O322" i="9" s="1"/>
  <c r="M306" i="9"/>
  <c r="P306" i="9" s="1"/>
  <c r="M272" i="9"/>
  <c r="P272" i="9" s="1"/>
  <c r="N175" i="9"/>
  <c r="N173" i="9" s="1"/>
  <c r="M145" i="9"/>
  <c r="P145" i="9" s="1"/>
  <c r="M131" i="9"/>
  <c r="P131" i="9" s="1"/>
  <c r="O64" i="9"/>
  <c r="L23" i="9"/>
  <c r="L62" i="9"/>
  <c r="O62" i="9" s="1"/>
  <c r="L61" i="9"/>
  <c r="L59" i="9" s="1"/>
  <c r="N23" i="9"/>
  <c r="L358" i="9"/>
  <c r="N272" i="9"/>
  <c r="N145" i="9"/>
  <c r="M61" i="9"/>
  <c r="K109" i="8"/>
  <c r="O382" i="9"/>
  <c r="P361" i="9"/>
  <c r="O357" i="9"/>
  <c r="P338" i="9"/>
  <c r="O325" i="9"/>
  <c r="L306" i="9"/>
  <c r="O306" i="9" s="1"/>
  <c r="I281" i="9"/>
  <c r="K281" i="9" s="1"/>
  <c r="O274" i="9"/>
  <c r="L272" i="9"/>
  <c r="O272" i="9" s="1"/>
  <c r="P267" i="9"/>
  <c r="L254" i="9"/>
  <c r="O254" i="9" s="1"/>
  <c r="L189" i="9"/>
  <c r="O189" i="9" s="1"/>
  <c r="O187" i="9"/>
  <c r="O147" i="9"/>
  <c r="L145" i="9"/>
  <c r="O145" i="9" s="1"/>
  <c r="P140" i="9"/>
  <c r="O133" i="9"/>
  <c r="L131" i="9"/>
  <c r="O131" i="9" s="1"/>
  <c r="P126" i="9"/>
  <c r="N19" i="9"/>
  <c r="N131" i="9"/>
  <c r="N379" i="9"/>
  <c r="N377" i="9" s="1"/>
  <c r="N284" i="9"/>
  <c r="N282" i="9" s="1"/>
  <c r="M269" i="9"/>
  <c r="P269" i="9" s="1"/>
  <c r="I253" i="9"/>
  <c r="M188" i="9"/>
  <c r="M142" i="9"/>
  <c r="P142" i="9" s="1"/>
  <c r="M128" i="9"/>
  <c r="P128" i="9" s="1"/>
  <c r="N26" i="9"/>
  <c r="N24" i="9" s="1"/>
  <c r="M19" i="9"/>
  <c r="P22" i="9"/>
  <c r="L336" i="9"/>
  <c r="O336" i="9" s="1"/>
  <c r="L335" i="9"/>
  <c r="I238" i="9"/>
  <c r="K238" i="9" s="1"/>
  <c r="O133" i="7"/>
  <c r="K344" i="9"/>
  <c r="M309" i="9"/>
  <c r="P309" i="9" s="1"/>
  <c r="M305" i="9"/>
  <c r="P305" i="9" s="1"/>
  <c r="P283" i="9"/>
  <c r="O271" i="9"/>
  <c r="L269" i="9"/>
  <c r="O269" i="9" s="1"/>
  <c r="K209" i="9"/>
  <c r="L188" i="9"/>
  <c r="K169" i="9"/>
  <c r="O144" i="9"/>
  <c r="L142" i="9"/>
  <c r="O142" i="9" s="1"/>
  <c r="O130" i="9"/>
  <c r="L128" i="9"/>
  <c r="O128" i="9" s="1"/>
  <c r="K108" i="9"/>
  <c r="I92" i="9"/>
  <c r="K92" i="9" s="1"/>
  <c r="I82" i="9"/>
  <c r="M65" i="9"/>
  <c r="P65" i="9" s="1"/>
  <c r="M26" i="9"/>
  <c r="L26" i="9"/>
  <c r="O19" i="9"/>
  <c r="P328" i="8"/>
  <c r="L284" i="8"/>
  <c r="O284" i="8" s="1"/>
  <c r="P165" i="8"/>
  <c r="J332" i="9"/>
  <c r="K332" i="9" s="1"/>
  <c r="L309" i="9"/>
  <c r="O309" i="9" s="1"/>
  <c r="L305" i="9"/>
  <c r="M268" i="9"/>
  <c r="P268" i="9" s="1"/>
  <c r="M192" i="9"/>
  <c r="P192" i="9" s="1"/>
  <c r="M141" i="9"/>
  <c r="P141" i="9" s="1"/>
  <c r="M127" i="9"/>
  <c r="P127" i="9" s="1"/>
  <c r="M62" i="9"/>
  <c r="P62" i="9" s="1"/>
  <c r="O60" i="9"/>
  <c r="N74" i="9"/>
  <c r="N72" i="9" s="1"/>
  <c r="M23" i="9"/>
  <c r="M21" i="9" s="1"/>
  <c r="M175" i="9"/>
  <c r="M159" i="9"/>
  <c r="N96" i="9"/>
  <c r="N94" i="9" s="1"/>
  <c r="M74" i="9"/>
  <c r="N50" i="9"/>
  <c r="M46" i="9"/>
  <c r="N322" i="9"/>
  <c r="N320" i="9" s="1"/>
  <c r="M284" i="9"/>
  <c r="P284" i="9" s="1"/>
  <c r="L175" i="9"/>
  <c r="L159" i="9"/>
  <c r="K84" i="9"/>
  <c r="L74" i="9"/>
  <c r="M50" i="9"/>
  <c r="P50" i="9" s="1"/>
  <c r="L46" i="9"/>
  <c r="O22" i="9"/>
  <c r="N305" i="8"/>
  <c r="I137" i="8"/>
  <c r="K137" i="8" s="1"/>
  <c r="L234" i="8"/>
  <c r="O144" i="8"/>
  <c r="L131" i="8"/>
  <c r="O131" i="8" s="1"/>
  <c r="L100" i="8"/>
  <c r="O100" i="8" s="1"/>
  <c r="O341" i="8"/>
  <c r="N335" i="8"/>
  <c r="N333" i="8" s="1"/>
  <c r="P178" i="8"/>
  <c r="P99" i="8"/>
  <c r="L326" i="8"/>
  <c r="O326" i="8" s="1"/>
  <c r="J351" i="8"/>
  <c r="P77" i="8"/>
  <c r="J332" i="8"/>
  <c r="K332" i="8" s="1"/>
  <c r="P306" i="8"/>
  <c r="L128" i="8"/>
  <c r="O128" i="8" s="1"/>
  <c r="O130" i="8"/>
  <c r="M383" i="8"/>
  <c r="P383" i="8" s="1"/>
  <c r="K346" i="8"/>
  <c r="P336" i="8"/>
  <c r="N284" i="8"/>
  <c r="N282" i="8" s="1"/>
  <c r="O52" i="8"/>
  <c r="L50" i="8"/>
  <c r="O50" i="8" s="1"/>
  <c r="O364" i="8"/>
  <c r="K314" i="8"/>
  <c r="N358" i="8"/>
  <c r="N356" i="8" s="1"/>
  <c r="M288" i="8"/>
  <c r="P288" i="8" s="1"/>
  <c r="P290" i="8"/>
  <c r="L78" i="8"/>
  <c r="O78" i="8" s="1"/>
  <c r="O80" i="8"/>
  <c r="M358" i="8"/>
  <c r="P311" i="8"/>
  <c r="P308" i="8"/>
  <c r="L288" i="8"/>
  <c r="O288" i="8" s="1"/>
  <c r="O290" i="8"/>
  <c r="P191" i="8"/>
  <c r="N159" i="8"/>
  <c r="N157" i="8" s="1"/>
  <c r="L74" i="8"/>
  <c r="L72" i="8" s="1"/>
  <c r="N61" i="8"/>
  <c r="N59" i="8" s="1"/>
  <c r="K198" i="8"/>
  <c r="L96" i="8"/>
  <c r="L94" i="8" s="1"/>
  <c r="O94" i="8" s="1"/>
  <c r="M127" i="8"/>
  <c r="P127" i="8" s="1"/>
  <c r="N127" i="8"/>
  <c r="N125" i="8" s="1"/>
  <c r="N46" i="8"/>
  <c r="N44" i="8" s="1"/>
  <c r="M379" i="8"/>
  <c r="P379" i="8" s="1"/>
  <c r="K369" i="8"/>
  <c r="O361" i="8"/>
  <c r="N359" i="8"/>
  <c r="O359" i="8" s="1"/>
  <c r="P325" i="8"/>
  <c r="M323" i="8"/>
  <c r="P323" i="8" s="1"/>
  <c r="N268" i="8"/>
  <c r="N266" i="8" s="1"/>
  <c r="M269" i="8"/>
  <c r="P269" i="8" s="1"/>
  <c r="L243" i="8"/>
  <c r="O243" i="8" s="1"/>
  <c r="K229" i="8"/>
  <c r="L214" i="8"/>
  <c r="O214" i="8" s="1"/>
  <c r="O178" i="8"/>
  <c r="O165" i="8"/>
  <c r="L159" i="8"/>
  <c r="O159" i="8" s="1"/>
  <c r="L141" i="8"/>
  <c r="L139" i="8" s="1"/>
  <c r="L127" i="8"/>
  <c r="O127" i="8" s="1"/>
  <c r="L97" i="8"/>
  <c r="O97" i="8" s="1"/>
  <c r="O77" i="8"/>
  <c r="P52" i="8"/>
  <c r="K344" i="7"/>
  <c r="M335" i="8"/>
  <c r="M333" i="8" s="1"/>
  <c r="L323" i="8"/>
  <c r="O323" i="8" s="1"/>
  <c r="P287" i="8"/>
  <c r="L254" i="8"/>
  <c r="O254" i="8" s="1"/>
  <c r="K221" i="8"/>
  <c r="N188" i="8"/>
  <c r="N186" i="8" s="1"/>
  <c r="M189" i="8"/>
  <c r="P189" i="8" s="1"/>
  <c r="P181" i="8"/>
  <c r="N175" i="8"/>
  <c r="N173" i="8" s="1"/>
  <c r="K154" i="8"/>
  <c r="M96" i="8"/>
  <c r="P96" i="8" s="1"/>
  <c r="N74" i="8"/>
  <c r="L75" i="8"/>
  <c r="O75" i="8" s="1"/>
  <c r="L46" i="8"/>
  <c r="L44" i="8" s="1"/>
  <c r="N23" i="8"/>
  <c r="N21" i="8" s="1"/>
  <c r="L335" i="8"/>
  <c r="L333" i="8" s="1"/>
  <c r="K330" i="8"/>
  <c r="L322" i="8"/>
  <c r="O287" i="8"/>
  <c r="N285" i="8"/>
  <c r="L203" i="8"/>
  <c r="O203" i="8" s="1"/>
  <c r="O181" i="8"/>
  <c r="P162" i="8"/>
  <c r="O147" i="8"/>
  <c r="P80" i="8"/>
  <c r="P75" i="8"/>
  <c r="N62" i="8"/>
  <c r="P336" i="7"/>
  <c r="L285" i="8"/>
  <c r="O285" i="8" s="1"/>
  <c r="J231" i="8"/>
  <c r="J185" i="8" s="1"/>
  <c r="L222" i="8"/>
  <c r="O222" i="8" s="1"/>
  <c r="L175" i="8"/>
  <c r="O175" i="8" s="1"/>
  <c r="P102" i="8"/>
  <c r="I83" i="8"/>
  <c r="P49" i="8"/>
  <c r="K302" i="8"/>
  <c r="L235" i="8"/>
  <c r="M141" i="8"/>
  <c r="M139" i="8" s="1"/>
  <c r="N141" i="8"/>
  <c r="N139" i="8" s="1"/>
  <c r="P64" i="8"/>
  <c r="O49" i="8"/>
  <c r="N47" i="8"/>
  <c r="P47" i="8" s="1"/>
  <c r="L19" i="8"/>
  <c r="N322" i="8"/>
  <c r="N320" i="8" s="1"/>
  <c r="O311" i="8"/>
  <c r="L309" i="8"/>
  <c r="O309" i="8" s="1"/>
  <c r="I253" i="8"/>
  <c r="K253" i="8" s="1"/>
  <c r="K260" i="8"/>
  <c r="L383" i="8"/>
  <c r="O383" i="8" s="1"/>
  <c r="L380" i="8"/>
  <c r="O380" i="8" s="1"/>
  <c r="M362" i="8"/>
  <c r="P362" i="8" s="1"/>
  <c r="M359" i="8"/>
  <c r="L358" i="8"/>
  <c r="O304" i="8"/>
  <c r="O274" i="8"/>
  <c r="L272" i="8"/>
  <c r="O272" i="8" s="1"/>
  <c r="M268" i="8"/>
  <c r="P268" i="8" s="1"/>
  <c r="I202" i="8"/>
  <c r="K202" i="8" s="1"/>
  <c r="K209" i="8"/>
  <c r="O194" i="8"/>
  <c r="L192" i="8"/>
  <c r="O192" i="8" s="1"/>
  <c r="M188" i="8"/>
  <c r="M186" i="8" s="1"/>
  <c r="N142" i="8"/>
  <c r="O142" i="8" s="1"/>
  <c r="K108" i="8"/>
  <c r="I92" i="8"/>
  <c r="K92" i="8" s="1"/>
  <c r="N26" i="8"/>
  <c r="N24" i="8" s="1"/>
  <c r="O60" i="8"/>
  <c r="L336" i="8"/>
  <c r="O336" i="8" s="1"/>
  <c r="P382" i="8"/>
  <c r="I365" i="8"/>
  <c r="K365" i="8" s="1"/>
  <c r="J343" i="8"/>
  <c r="P338" i="8"/>
  <c r="K293" i="8"/>
  <c r="O271" i="8"/>
  <c r="L269" i="8"/>
  <c r="O269" i="8" s="1"/>
  <c r="L268" i="8"/>
  <c r="O268" i="8" s="1"/>
  <c r="L233" i="8"/>
  <c r="I213" i="8"/>
  <c r="K213" i="8" s="1"/>
  <c r="O191" i="8"/>
  <c r="L189" i="8"/>
  <c r="O189" i="8" s="1"/>
  <c r="L188" i="8"/>
  <c r="L186" i="8" s="1"/>
  <c r="P144" i="8"/>
  <c r="M142" i="8"/>
  <c r="P130" i="8"/>
  <c r="M128" i="8"/>
  <c r="P128" i="8" s="1"/>
  <c r="I82" i="8"/>
  <c r="M26" i="8"/>
  <c r="P26" i="8" s="1"/>
  <c r="P67" i="8"/>
  <c r="M62" i="8"/>
  <c r="O19" i="8"/>
  <c r="N19" i="8"/>
  <c r="L379" i="8"/>
  <c r="L305" i="8"/>
  <c r="P126" i="8"/>
  <c r="P361" i="8"/>
  <c r="O357" i="8"/>
  <c r="O338" i="8"/>
  <c r="O308" i="8"/>
  <c r="L306" i="8"/>
  <c r="O306" i="8" s="1"/>
  <c r="P304" i="8"/>
  <c r="O67" i="8"/>
  <c r="L65" i="8"/>
  <c r="O65" i="8" s="1"/>
  <c r="M61" i="8"/>
  <c r="M19" i="8"/>
  <c r="P22" i="8"/>
  <c r="P140" i="8"/>
  <c r="P194" i="7"/>
  <c r="P52" i="7"/>
  <c r="N379" i="8"/>
  <c r="N377" i="8" s="1"/>
  <c r="N309" i="8"/>
  <c r="M284" i="8"/>
  <c r="P274" i="8"/>
  <c r="O64" i="8"/>
  <c r="L62" i="8"/>
  <c r="L61" i="8"/>
  <c r="L26" i="8"/>
  <c r="O26" i="8" s="1"/>
  <c r="P147" i="8"/>
  <c r="M145" i="8"/>
  <c r="P145" i="8" s="1"/>
  <c r="P49" i="7"/>
  <c r="K344" i="8"/>
  <c r="M309" i="8"/>
  <c r="P309" i="8" s="1"/>
  <c r="I281" i="8"/>
  <c r="K281" i="8" s="1"/>
  <c r="K292" i="8"/>
  <c r="O267" i="8"/>
  <c r="I238" i="8"/>
  <c r="K238" i="8" s="1"/>
  <c r="N232" i="8"/>
  <c r="M192" i="8"/>
  <c r="P192" i="8" s="1"/>
  <c r="O187" i="8"/>
  <c r="K169" i="8"/>
  <c r="P133" i="8"/>
  <c r="M131" i="8"/>
  <c r="P131" i="8" s="1"/>
  <c r="P267" i="8"/>
  <c r="K249" i="8"/>
  <c r="I242" i="8"/>
  <c r="P187" i="8"/>
  <c r="K153" i="8"/>
  <c r="O99" i="8"/>
  <c r="K85" i="8"/>
  <c r="P60" i="8"/>
  <c r="O25" i="8"/>
  <c r="M23" i="8"/>
  <c r="M21" i="8" s="1"/>
  <c r="M175" i="8"/>
  <c r="M159" i="8"/>
  <c r="N96" i="8"/>
  <c r="N94" i="8" s="1"/>
  <c r="M74" i="8"/>
  <c r="M46" i="8"/>
  <c r="L23" i="8"/>
  <c r="K183" i="8"/>
  <c r="K84" i="8"/>
  <c r="O385" i="7"/>
  <c r="P181" i="7"/>
  <c r="K369" i="7"/>
  <c r="K314" i="7"/>
  <c r="K198" i="7"/>
  <c r="O178" i="7"/>
  <c r="K169" i="7"/>
  <c r="N127" i="7"/>
  <c r="N125" i="7" s="1"/>
  <c r="K371" i="7"/>
  <c r="K368" i="7"/>
  <c r="P325" i="7"/>
  <c r="N96" i="7"/>
  <c r="N94" i="7" s="1"/>
  <c r="K260" i="7"/>
  <c r="L236" i="7"/>
  <c r="L127" i="7"/>
  <c r="O127" i="7" s="1"/>
  <c r="J351" i="7"/>
  <c r="M74" i="7"/>
  <c r="M72" i="7" s="1"/>
  <c r="P72" i="7" s="1"/>
  <c r="L160" i="6"/>
  <c r="O160" i="6" s="1"/>
  <c r="L96" i="7"/>
  <c r="O96" i="7" s="1"/>
  <c r="J332" i="7"/>
  <c r="K332" i="7" s="1"/>
  <c r="J343" i="7"/>
  <c r="M322" i="7"/>
  <c r="P322" i="7" s="1"/>
  <c r="I281" i="7"/>
  <c r="K281" i="7" s="1"/>
  <c r="L235" i="7"/>
  <c r="L234" i="7"/>
  <c r="M188" i="7"/>
  <c r="M186" i="7" s="1"/>
  <c r="L175" i="7"/>
  <c r="L173" i="7" s="1"/>
  <c r="P176" i="7"/>
  <c r="O130" i="7"/>
  <c r="M46" i="7"/>
  <c r="M44" i="7" s="1"/>
  <c r="O64" i="5"/>
  <c r="O341" i="6"/>
  <c r="O311" i="7"/>
  <c r="L214" i="7"/>
  <c r="O214" i="7" s="1"/>
  <c r="P147" i="7"/>
  <c r="L145" i="7"/>
  <c r="O145" i="7" s="1"/>
  <c r="O49" i="7"/>
  <c r="L379" i="7"/>
  <c r="O379" i="7" s="1"/>
  <c r="P341" i="7"/>
  <c r="P338" i="7"/>
  <c r="P308" i="7"/>
  <c r="M284" i="7"/>
  <c r="P284" i="7" s="1"/>
  <c r="I221" i="7"/>
  <c r="K221" i="7" s="1"/>
  <c r="P165" i="7"/>
  <c r="O144" i="7"/>
  <c r="L100" i="7"/>
  <c r="O100" i="7" s="1"/>
  <c r="L97" i="7"/>
  <c r="O97" i="7" s="1"/>
  <c r="P80" i="7"/>
  <c r="P77" i="7"/>
  <c r="N61" i="7"/>
  <c r="N59" i="7" s="1"/>
  <c r="K368" i="6"/>
  <c r="L358" i="7"/>
  <c r="L356" i="7" s="1"/>
  <c r="O341" i="7"/>
  <c r="K330" i="7"/>
  <c r="L305" i="7"/>
  <c r="O305" i="7" s="1"/>
  <c r="L243" i="7"/>
  <c r="O243" i="7" s="1"/>
  <c r="K195" i="7"/>
  <c r="N188" i="7"/>
  <c r="N186" i="7" s="1"/>
  <c r="O191" i="7"/>
  <c r="K183" i="7"/>
  <c r="O176" i="7"/>
  <c r="L141" i="7"/>
  <c r="O141" i="7" s="1"/>
  <c r="I137" i="7"/>
  <c r="K137" i="7" s="1"/>
  <c r="L128" i="7"/>
  <c r="O128" i="7" s="1"/>
  <c r="P64" i="7"/>
  <c r="M61" i="7"/>
  <c r="M59" i="7" s="1"/>
  <c r="L254" i="7"/>
  <c r="O254" i="7" s="1"/>
  <c r="L222" i="7"/>
  <c r="O222" i="7" s="1"/>
  <c r="L188" i="7"/>
  <c r="L186" i="7" s="1"/>
  <c r="K172" i="7"/>
  <c r="O290" i="7"/>
  <c r="O274" i="7"/>
  <c r="P144" i="7"/>
  <c r="O77" i="7"/>
  <c r="P364" i="7"/>
  <c r="M335" i="7"/>
  <c r="M333" i="7" s="1"/>
  <c r="K293" i="7"/>
  <c r="P287" i="7"/>
  <c r="P271" i="7"/>
  <c r="O189" i="7"/>
  <c r="P162" i="7"/>
  <c r="N74" i="7"/>
  <c r="N72" i="7" s="1"/>
  <c r="N46" i="7"/>
  <c r="P47" i="7"/>
  <c r="K154" i="5"/>
  <c r="O382" i="7"/>
  <c r="L380" i="7"/>
  <c r="O380" i="7" s="1"/>
  <c r="O336" i="7"/>
  <c r="N284" i="7"/>
  <c r="N282" i="7" s="1"/>
  <c r="L284" i="7"/>
  <c r="O284" i="7" s="1"/>
  <c r="M268" i="7"/>
  <c r="P268" i="7" s="1"/>
  <c r="N268" i="7"/>
  <c r="N266" i="7" s="1"/>
  <c r="N175" i="7"/>
  <c r="N173" i="7" s="1"/>
  <c r="N159" i="7"/>
  <c r="N157" i="7" s="1"/>
  <c r="M159" i="7"/>
  <c r="P159" i="7" s="1"/>
  <c r="K154" i="7"/>
  <c r="N141" i="7"/>
  <c r="N139" i="7" s="1"/>
  <c r="M141" i="7"/>
  <c r="P141" i="7" s="1"/>
  <c r="N97" i="7"/>
  <c r="O80" i="7"/>
  <c r="O64" i="7"/>
  <c r="N62" i="7"/>
  <c r="O62" i="7" s="1"/>
  <c r="O52" i="7"/>
  <c r="P359" i="7"/>
  <c r="N284" i="5"/>
  <c r="N282" i="5" s="1"/>
  <c r="O80" i="6"/>
  <c r="O77" i="6"/>
  <c r="P385" i="7"/>
  <c r="P382" i="7"/>
  <c r="I365" i="7"/>
  <c r="K365" i="7" s="1"/>
  <c r="L362" i="7"/>
  <c r="O362" i="7" s="1"/>
  <c r="L359" i="7"/>
  <c r="O359" i="7" s="1"/>
  <c r="O338" i="7"/>
  <c r="N335" i="7"/>
  <c r="N333" i="7" s="1"/>
  <c r="M326" i="7"/>
  <c r="P326" i="7" s="1"/>
  <c r="P311" i="7"/>
  <c r="O308" i="7"/>
  <c r="N305" i="7"/>
  <c r="N303" i="7" s="1"/>
  <c r="M285" i="7"/>
  <c r="P285" i="7" s="1"/>
  <c r="M272" i="7"/>
  <c r="P272" i="7" s="1"/>
  <c r="L203" i="7"/>
  <c r="O203" i="7" s="1"/>
  <c r="I202" i="7"/>
  <c r="K202" i="7" s="1"/>
  <c r="N192" i="7"/>
  <c r="M189" i="7"/>
  <c r="P189" i="7" s="1"/>
  <c r="O187" i="7"/>
  <c r="P178" i="7"/>
  <c r="O162" i="7"/>
  <c r="L159" i="7"/>
  <c r="O159" i="7" s="1"/>
  <c r="N131" i="7"/>
  <c r="K108" i="7"/>
  <c r="I92" i="7"/>
  <c r="K92" i="7" s="1"/>
  <c r="M96" i="7"/>
  <c r="P96" i="7" s="1"/>
  <c r="I82" i="7"/>
  <c r="L47" i="7"/>
  <c r="O47" i="7" s="1"/>
  <c r="L23" i="7"/>
  <c r="N23" i="7"/>
  <c r="M19" i="7"/>
  <c r="L323" i="7"/>
  <c r="O323" i="7" s="1"/>
  <c r="P361" i="7"/>
  <c r="L335" i="7"/>
  <c r="L326" i="7"/>
  <c r="O326" i="7" s="1"/>
  <c r="N322" i="7"/>
  <c r="N320" i="7" s="1"/>
  <c r="M305" i="7"/>
  <c r="P305" i="7" s="1"/>
  <c r="M288" i="7"/>
  <c r="P288" i="7" s="1"/>
  <c r="L285" i="7"/>
  <c r="O285" i="7" s="1"/>
  <c r="K220" i="7"/>
  <c r="M175" i="7"/>
  <c r="N142" i="7"/>
  <c r="P102" i="7"/>
  <c r="M62" i="7"/>
  <c r="O60" i="7"/>
  <c r="M26" i="7"/>
  <c r="P26" i="7" s="1"/>
  <c r="P22" i="7"/>
  <c r="L179" i="7"/>
  <c r="O179" i="7" s="1"/>
  <c r="P126" i="7"/>
  <c r="N379" i="7"/>
  <c r="N377" i="7" s="1"/>
  <c r="O361" i="7"/>
  <c r="P334" i="7"/>
  <c r="P274" i="7"/>
  <c r="O271" i="7"/>
  <c r="I242" i="7"/>
  <c r="K249" i="7"/>
  <c r="P191" i="7"/>
  <c r="O181" i="7"/>
  <c r="O165" i="7"/>
  <c r="P130" i="7"/>
  <c r="M127" i="7"/>
  <c r="P127" i="7" s="1"/>
  <c r="O95" i="7"/>
  <c r="L74" i="7"/>
  <c r="O74" i="7" s="1"/>
  <c r="O67" i="7"/>
  <c r="L46" i="7"/>
  <c r="N26" i="7"/>
  <c r="N24" i="7" s="1"/>
  <c r="L233" i="7"/>
  <c r="P385" i="6"/>
  <c r="M326" i="6"/>
  <c r="P326" i="6" s="1"/>
  <c r="N159" i="6"/>
  <c r="N157" i="6" s="1"/>
  <c r="M379" i="7"/>
  <c r="P379" i="7" s="1"/>
  <c r="N358" i="7"/>
  <c r="N356" i="7" s="1"/>
  <c r="L322" i="7"/>
  <c r="O322" i="7" s="1"/>
  <c r="N232" i="7"/>
  <c r="I238" i="7"/>
  <c r="K238" i="7" s="1"/>
  <c r="M139" i="7"/>
  <c r="P139" i="7" s="1"/>
  <c r="P99" i="7"/>
  <c r="L26" i="7"/>
  <c r="N19" i="7"/>
  <c r="K209" i="6"/>
  <c r="I137" i="6"/>
  <c r="K137" i="6" s="1"/>
  <c r="L128" i="6"/>
  <c r="O128" i="6" s="1"/>
  <c r="M358" i="7"/>
  <c r="P321" i="7"/>
  <c r="L268" i="7"/>
  <c r="O268" i="7" s="1"/>
  <c r="O194" i="7"/>
  <c r="O174" i="7"/>
  <c r="I138" i="7"/>
  <c r="K138" i="7" s="1"/>
  <c r="P133" i="7"/>
  <c r="I93" i="7"/>
  <c r="K93" i="7" s="1"/>
  <c r="I83" i="7"/>
  <c r="M65" i="7"/>
  <c r="P65" i="7" s="1"/>
  <c r="L61" i="7"/>
  <c r="P25" i="7"/>
  <c r="O99" i="7"/>
  <c r="K85" i="7"/>
  <c r="O25" i="7"/>
  <c r="M23" i="7"/>
  <c r="I156" i="6"/>
  <c r="K156" i="6" s="1"/>
  <c r="L234" i="6"/>
  <c r="P336" i="6"/>
  <c r="O308" i="6"/>
  <c r="O181" i="6"/>
  <c r="P191" i="6"/>
  <c r="M358" i="6"/>
  <c r="M356" i="6" s="1"/>
  <c r="N284" i="6"/>
  <c r="N282" i="6" s="1"/>
  <c r="N46" i="6"/>
  <c r="N44" i="6" s="1"/>
  <c r="P311" i="5"/>
  <c r="O382" i="6"/>
  <c r="K371" i="6"/>
  <c r="L358" i="6"/>
  <c r="L356" i="6" s="1"/>
  <c r="L127" i="6"/>
  <c r="O127" i="6" s="1"/>
  <c r="L284" i="6"/>
  <c r="O284" i="6" s="1"/>
  <c r="L243" i="6"/>
  <c r="L214" i="6"/>
  <c r="O214" i="6" s="1"/>
  <c r="P102" i="6"/>
  <c r="P99" i="6"/>
  <c r="L46" i="6"/>
  <c r="L44" i="6" s="1"/>
  <c r="J343" i="6"/>
  <c r="L272" i="6"/>
  <c r="O272" i="6" s="1"/>
  <c r="L254" i="6"/>
  <c r="O254" i="6" s="1"/>
  <c r="I253" i="6"/>
  <c r="K253" i="6" s="1"/>
  <c r="K220" i="6"/>
  <c r="L192" i="6"/>
  <c r="O192" i="6" s="1"/>
  <c r="N61" i="6"/>
  <c r="N59" i="6" s="1"/>
  <c r="P364" i="6"/>
  <c r="M359" i="6"/>
  <c r="P359" i="6" s="1"/>
  <c r="L269" i="6"/>
  <c r="O269" i="6" s="1"/>
  <c r="O178" i="6"/>
  <c r="K369" i="6"/>
  <c r="J351" i="6"/>
  <c r="K346" i="6"/>
  <c r="O311" i="6"/>
  <c r="P290" i="6"/>
  <c r="P287" i="6"/>
  <c r="L145" i="6"/>
  <c r="O145" i="6" s="1"/>
  <c r="L142" i="6"/>
  <c r="O142" i="6" s="1"/>
  <c r="L50" i="6"/>
  <c r="O50" i="6" s="1"/>
  <c r="P271" i="5"/>
  <c r="O385" i="6"/>
  <c r="L379" i="6"/>
  <c r="L377" i="6" s="1"/>
  <c r="O377" i="6" s="1"/>
  <c r="L362" i="6"/>
  <c r="O362" i="6" s="1"/>
  <c r="J332" i="6"/>
  <c r="O336" i="6"/>
  <c r="M322" i="6"/>
  <c r="P322" i="6" s="1"/>
  <c r="P308" i="6"/>
  <c r="O290" i="6"/>
  <c r="O283" i="6"/>
  <c r="I281" i="6"/>
  <c r="K281" i="6" s="1"/>
  <c r="I242" i="6"/>
  <c r="L203" i="6"/>
  <c r="O203" i="6" s="1"/>
  <c r="O165" i="6"/>
  <c r="L159" i="6"/>
  <c r="O159" i="6" s="1"/>
  <c r="K154" i="6"/>
  <c r="O102" i="6"/>
  <c r="M96" i="6"/>
  <c r="P96" i="6" s="1"/>
  <c r="P67" i="6"/>
  <c r="N268" i="5"/>
  <c r="N266" i="5" s="1"/>
  <c r="P361" i="6"/>
  <c r="P274" i="6"/>
  <c r="L233" i="6"/>
  <c r="I238" i="6"/>
  <c r="K238" i="6" s="1"/>
  <c r="I195" i="6"/>
  <c r="K195" i="6" s="1"/>
  <c r="N189" i="6"/>
  <c r="O189" i="6" s="1"/>
  <c r="P178" i="6"/>
  <c r="M131" i="6"/>
  <c r="P131" i="6" s="1"/>
  <c r="M128" i="6"/>
  <c r="P128" i="6" s="1"/>
  <c r="L96" i="6"/>
  <c r="O96" i="6" s="1"/>
  <c r="N96" i="6"/>
  <c r="N94" i="6" s="1"/>
  <c r="L65" i="6"/>
  <c r="O65" i="6" s="1"/>
  <c r="N62" i="6"/>
  <c r="O62" i="6" s="1"/>
  <c r="K346" i="5"/>
  <c r="P382" i="6"/>
  <c r="I365" i="6"/>
  <c r="K365" i="6" s="1"/>
  <c r="O361" i="6"/>
  <c r="P341" i="6"/>
  <c r="O287" i="6"/>
  <c r="P162" i="6"/>
  <c r="M145" i="6"/>
  <c r="P145" i="6" s="1"/>
  <c r="K109" i="6"/>
  <c r="L47" i="6"/>
  <c r="M19" i="6"/>
  <c r="P19" i="6" s="1"/>
  <c r="L359" i="6"/>
  <c r="O359" i="6" s="1"/>
  <c r="N305" i="6"/>
  <c r="N303" i="6" s="1"/>
  <c r="L285" i="6"/>
  <c r="O285" i="6" s="1"/>
  <c r="P271" i="6"/>
  <c r="M142" i="6"/>
  <c r="P142" i="6" s="1"/>
  <c r="N379" i="6"/>
  <c r="N377" i="6" s="1"/>
  <c r="N335" i="6"/>
  <c r="N333" i="6" s="1"/>
  <c r="O328" i="6"/>
  <c r="I319" i="6"/>
  <c r="K319" i="6" s="1"/>
  <c r="L305" i="6"/>
  <c r="O305" i="6" s="1"/>
  <c r="M284" i="6"/>
  <c r="P284" i="6" s="1"/>
  <c r="L236" i="6"/>
  <c r="K229" i="6"/>
  <c r="P181" i="6"/>
  <c r="L175" i="6"/>
  <c r="L173" i="6" s="1"/>
  <c r="O99" i="6"/>
  <c r="P80" i="6"/>
  <c r="L74" i="6"/>
  <c r="O74" i="6" s="1"/>
  <c r="O64" i="6"/>
  <c r="L23" i="6"/>
  <c r="L21" i="6" s="1"/>
  <c r="P181" i="5"/>
  <c r="P165" i="5"/>
  <c r="N380" i="6"/>
  <c r="M379" i="6"/>
  <c r="P379" i="6" s="1"/>
  <c r="N358" i="6"/>
  <c r="N322" i="6"/>
  <c r="N320" i="6" s="1"/>
  <c r="P311" i="6"/>
  <c r="O304" i="6"/>
  <c r="N268" i="6"/>
  <c r="N266" i="6" s="1"/>
  <c r="L235" i="6"/>
  <c r="N175" i="6"/>
  <c r="N173" i="6" s="1"/>
  <c r="I172" i="6"/>
  <c r="K172" i="6" s="1"/>
  <c r="P165" i="6"/>
  <c r="I83" i="6"/>
  <c r="N74" i="6"/>
  <c r="N72" i="6" s="1"/>
  <c r="M47" i="6"/>
  <c r="M23" i="6"/>
  <c r="K292" i="5"/>
  <c r="O194" i="5"/>
  <c r="I332" i="6"/>
  <c r="K344" i="6"/>
  <c r="P338" i="6"/>
  <c r="M335" i="6"/>
  <c r="O325" i="6"/>
  <c r="L322" i="6"/>
  <c r="M268" i="6"/>
  <c r="P268" i="6" s="1"/>
  <c r="P194" i="6"/>
  <c r="O191" i="6"/>
  <c r="M175" i="6"/>
  <c r="P158" i="6"/>
  <c r="I138" i="6"/>
  <c r="K138" i="6" s="1"/>
  <c r="L131" i="6"/>
  <c r="O131" i="6" s="1"/>
  <c r="P77" i="6"/>
  <c r="M74" i="6"/>
  <c r="P74" i="6" s="1"/>
  <c r="P64" i="6"/>
  <c r="N26" i="6"/>
  <c r="N24" i="6" s="1"/>
  <c r="N50" i="6"/>
  <c r="L26" i="6"/>
  <c r="O26" i="6" s="1"/>
  <c r="N19" i="6"/>
  <c r="N285" i="6"/>
  <c r="P378" i="6"/>
  <c r="O338" i="6"/>
  <c r="L335" i="6"/>
  <c r="L333" i="6" s="1"/>
  <c r="P267" i="6"/>
  <c r="N188" i="6"/>
  <c r="N186" i="6" s="1"/>
  <c r="N163" i="6"/>
  <c r="M26" i="6"/>
  <c r="M50" i="6"/>
  <c r="P50" i="6" s="1"/>
  <c r="M46" i="6"/>
  <c r="P46" i="6" s="1"/>
  <c r="O19" i="6"/>
  <c r="P45" i="6"/>
  <c r="I302" i="6"/>
  <c r="K302" i="6" s="1"/>
  <c r="L222" i="6"/>
  <c r="O222" i="6" s="1"/>
  <c r="M188" i="6"/>
  <c r="N176" i="6"/>
  <c r="O176" i="6" s="1"/>
  <c r="N141" i="6"/>
  <c r="N139" i="6" s="1"/>
  <c r="I82" i="6"/>
  <c r="P49" i="6"/>
  <c r="K369" i="5"/>
  <c r="O338" i="5"/>
  <c r="M305" i="6"/>
  <c r="P305" i="6" s="1"/>
  <c r="I280" i="6"/>
  <c r="K280" i="6" s="1"/>
  <c r="M159" i="6"/>
  <c r="P159" i="6" s="1"/>
  <c r="L141" i="6"/>
  <c r="N127" i="6"/>
  <c r="N125" i="6" s="1"/>
  <c r="I92" i="6"/>
  <c r="K92" i="6" s="1"/>
  <c r="P73" i="6"/>
  <c r="M61" i="6"/>
  <c r="N23" i="6"/>
  <c r="N47" i="6"/>
  <c r="P325" i="6"/>
  <c r="L268" i="6"/>
  <c r="L188" i="6"/>
  <c r="M141" i="6"/>
  <c r="P141" i="6" s="1"/>
  <c r="M127" i="6"/>
  <c r="P127" i="6" s="1"/>
  <c r="L61" i="6"/>
  <c r="L59" i="6" s="1"/>
  <c r="O49" i="6"/>
  <c r="K84" i="6"/>
  <c r="P22" i="6"/>
  <c r="O22" i="6"/>
  <c r="O274" i="5"/>
  <c r="N188" i="5"/>
  <c r="N186" i="5" s="1"/>
  <c r="P336" i="3"/>
  <c r="P385" i="5"/>
  <c r="O67" i="5"/>
  <c r="L62" i="5"/>
  <c r="P364" i="5"/>
  <c r="P361" i="5"/>
  <c r="P133" i="5"/>
  <c r="N61" i="5"/>
  <c r="N59" i="5" s="1"/>
  <c r="M326" i="5"/>
  <c r="P326" i="5" s="1"/>
  <c r="P77" i="5"/>
  <c r="M379" i="5"/>
  <c r="M377" i="5" s="1"/>
  <c r="P377" i="5" s="1"/>
  <c r="O308" i="5"/>
  <c r="L203" i="5"/>
  <c r="O203" i="5" s="1"/>
  <c r="O191" i="5"/>
  <c r="N189" i="5"/>
  <c r="O189" i="5" s="1"/>
  <c r="K183" i="5"/>
  <c r="N159" i="5"/>
  <c r="N157" i="5" s="1"/>
  <c r="L131" i="5"/>
  <c r="O131" i="5" s="1"/>
  <c r="K109" i="5"/>
  <c r="I238" i="4"/>
  <c r="K238" i="4" s="1"/>
  <c r="L236" i="5"/>
  <c r="P130" i="5"/>
  <c r="K369" i="4"/>
  <c r="K229" i="4"/>
  <c r="K365" i="5"/>
  <c r="O341" i="5"/>
  <c r="K330" i="5"/>
  <c r="L268" i="5"/>
  <c r="O268" i="5" s="1"/>
  <c r="K229" i="5"/>
  <c r="L214" i="5"/>
  <c r="O214" i="5" s="1"/>
  <c r="P178" i="5"/>
  <c r="O99" i="5"/>
  <c r="N62" i="5"/>
  <c r="N46" i="5"/>
  <c r="N44" i="5" s="1"/>
  <c r="O382" i="5"/>
  <c r="J351" i="5"/>
  <c r="L235" i="5"/>
  <c r="L145" i="5"/>
  <c r="O145" i="5" s="1"/>
  <c r="M142" i="5"/>
  <c r="P142" i="5" s="1"/>
  <c r="N74" i="5"/>
  <c r="N72" i="5" s="1"/>
  <c r="K371" i="4"/>
  <c r="L235" i="4"/>
  <c r="P336" i="5"/>
  <c r="M380" i="5"/>
  <c r="P380" i="5" s="1"/>
  <c r="K368" i="5"/>
  <c r="O361" i="5"/>
  <c r="P341" i="5"/>
  <c r="O336" i="5"/>
  <c r="N305" i="5"/>
  <c r="N303" i="5" s="1"/>
  <c r="N306" i="5"/>
  <c r="K221" i="5"/>
  <c r="K195" i="5"/>
  <c r="N175" i="5"/>
  <c r="N173" i="5" s="1"/>
  <c r="K169" i="5"/>
  <c r="P162" i="5"/>
  <c r="N160" i="5"/>
  <c r="M127" i="5"/>
  <c r="P127" i="5" s="1"/>
  <c r="L128" i="5"/>
  <c r="O128" i="5" s="1"/>
  <c r="I82" i="5"/>
  <c r="K82" i="5" s="1"/>
  <c r="N358" i="5"/>
  <c r="N356" i="5" s="1"/>
  <c r="L254" i="5"/>
  <c r="O254" i="5" s="1"/>
  <c r="P176" i="5"/>
  <c r="N127" i="5"/>
  <c r="N125" i="5" s="1"/>
  <c r="L141" i="4"/>
  <c r="L139" i="4" s="1"/>
  <c r="O385" i="5"/>
  <c r="P359" i="5"/>
  <c r="P338" i="5"/>
  <c r="O311" i="5"/>
  <c r="L305" i="5"/>
  <c r="O305" i="5" s="1"/>
  <c r="O176" i="5"/>
  <c r="M141" i="5"/>
  <c r="P141" i="5" s="1"/>
  <c r="L142" i="5"/>
  <c r="O142" i="5" s="1"/>
  <c r="L96" i="5"/>
  <c r="L94" i="5" s="1"/>
  <c r="O94" i="5" s="1"/>
  <c r="P49" i="5"/>
  <c r="N47" i="5"/>
  <c r="P47" i="5" s="1"/>
  <c r="O359" i="5"/>
  <c r="P290" i="5"/>
  <c r="P287" i="5"/>
  <c r="K172" i="5"/>
  <c r="P147" i="5"/>
  <c r="N141" i="5"/>
  <c r="N139" i="5" s="1"/>
  <c r="P80" i="5"/>
  <c r="L19" i="5"/>
  <c r="O19" i="5" s="1"/>
  <c r="I253" i="3"/>
  <c r="K253" i="3" s="1"/>
  <c r="P382" i="5"/>
  <c r="O364" i="5"/>
  <c r="J343" i="5"/>
  <c r="N335" i="5"/>
  <c r="N333" i="5" s="1"/>
  <c r="P308" i="5"/>
  <c r="O271" i="5"/>
  <c r="N269" i="5"/>
  <c r="I242" i="5"/>
  <c r="K242" i="5" s="1"/>
  <c r="L222" i="5"/>
  <c r="O222" i="5" s="1"/>
  <c r="L188" i="5"/>
  <c r="L186" i="5" s="1"/>
  <c r="K152" i="5"/>
  <c r="O102" i="5"/>
  <c r="I83" i="5"/>
  <c r="I71" i="5" s="1"/>
  <c r="K71" i="5" s="1"/>
  <c r="N75" i="5"/>
  <c r="L61" i="5"/>
  <c r="L59" i="5" s="1"/>
  <c r="M19" i="5"/>
  <c r="L285" i="5"/>
  <c r="O285" i="5" s="1"/>
  <c r="O287" i="5"/>
  <c r="P19" i="5"/>
  <c r="N159" i="4"/>
  <c r="N157" i="4" s="1"/>
  <c r="N379" i="5"/>
  <c r="N377" i="5" s="1"/>
  <c r="L326" i="5"/>
  <c r="O326" i="5" s="1"/>
  <c r="N288" i="5"/>
  <c r="M268" i="5"/>
  <c r="P194" i="5"/>
  <c r="M192" i="5"/>
  <c r="P192" i="5" s="1"/>
  <c r="O187" i="5"/>
  <c r="P64" i="5"/>
  <c r="M62" i="5"/>
  <c r="M61" i="5"/>
  <c r="N26" i="5"/>
  <c r="N24" i="5" s="1"/>
  <c r="L323" i="5"/>
  <c r="O323" i="5" s="1"/>
  <c r="K371" i="5"/>
  <c r="K344" i="5"/>
  <c r="P325" i="5"/>
  <c r="N322" i="5"/>
  <c r="N320" i="5" s="1"/>
  <c r="M284" i="5"/>
  <c r="P284" i="5" s="1"/>
  <c r="I280" i="5"/>
  <c r="K280" i="5" s="1"/>
  <c r="L234" i="5"/>
  <c r="J231" i="5"/>
  <c r="J185" i="5" s="1"/>
  <c r="I213" i="5"/>
  <c r="K213" i="5" s="1"/>
  <c r="M26" i="5"/>
  <c r="K368" i="4"/>
  <c r="L379" i="5"/>
  <c r="M358" i="5"/>
  <c r="M335" i="5"/>
  <c r="M322" i="5"/>
  <c r="P322" i="5" s="1"/>
  <c r="L288" i="5"/>
  <c r="O288" i="5" s="1"/>
  <c r="O290" i="5"/>
  <c r="L284" i="5"/>
  <c r="O284" i="5" s="1"/>
  <c r="P274" i="5"/>
  <c r="O267" i="5"/>
  <c r="I253" i="5"/>
  <c r="K260" i="5"/>
  <c r="L243" i="5"/>
  <c r="P191" i="5"/>
  <c r="M189" i="5"/>
  <c r="M188" i="5"/>
  <c r="P126" i="5"/>
  <c r="K108" i="5"/>
  <c r="I92" i="5"/>
  <c r="K92" i="5" s="1"/>
  <c r="L26" i="5"/>
  <c r="P283" i="5"/>
  <c r="L61" i="4"/>
  <c r="L59" i="4" s="1"/>
  <c r="L358" i="5"/>
  <c r="L335" i="5"/>
  <c r="L333" i="5" s="1"/>
  <c r="J332" i="5"/>
  <c r="K332" i="5" s="1"/>
  <c r="I302" i="5"/>
  <c r="K302" i="5" s="1"/>
  <c r="O283" i="5"/>
  <c r="P140" i="5"/>
  <c r="L322" i="5"/>
  <c r="O322" i="5" s="1"/>
  <c r="I202" i="5"/>
  <c r="K202" i="5" s="1"/>
  <c r="K209" i="5"/>
  <c r="P142" i="4"/>
  <c r="M305" i="5"/>
  <c r="I238" i="5"/>
  <c r="K238" i="5" s="1"/>
  <c r="P67" i="5"/>
  <c r="M65" i="5"/>
  <c r="P65" i="5" s="1"/>
  <c r="O60" i="5"/>
  <c r="N19" i="5"/>
  <c r="L233" i="5"/>
  <c r="K230" i="5"/>
  <c r="K198" i="5"/>
  <c r="O181" i="5"/>
  <c r="O178" i="5"/>
  <c r="O165" i="5"/>
  <c r="O162" i="5"/>
  <c r="P102" i="5"/>
  <c r="P99" i="5"/>
  <c r="O80" i="5"/>
  <c r="O77" i="5"/>
  <c r="O52" i="5"/>
  <c r="O49" i="5"/>
  <c r="P25" i="5"/>
  <c r="N23" i="5"/>
  <c r="K153" i="5"/>
  <c r="L141" i="5"/>
  <c r="L127" i="5"/>
  <c r="K85" i="5"/>
  <c r="M23" i="5"/>
  <c r="M175" i="5"/>
  <c r="M159" i="5"/>
  <c r="P159" i="5" s="1"/>
  <c r="N96" i="5"/>
  <c r="N94" i="5" s="1"/>
  <c r="M74" i="5"/>
  <c r="P74" i="5" s="1"/>
  <c r="M46" i="5"/>
  <c r="L23" i="5"/>
  <c r="L21" i="5" s="1"/>
  <c r="L175" i="5"/>
  <c r="L159" i="5"/>
  <c r="O159" i="5" s="1"/>
  <c r="M96" i="5"/>
  <c r="P96" i="5" s="1"/>
  <c r="L74" i="5"/>
  <c r="O74" i="5" s="1"/>
  <c r="M50" i="5"/>
  <c r="P50" i="5" s="1"/>
  <c r="L46" i="5"/>
  <c r="O22" i="5"/>
  <c r="M96" i="4"/>
  <c r="P96" i="4" s="1"/>
  <c r="O194" i="4"/>
  <c r="N175" i="4"/>
  <c r="N173" i="4" s="1"/>
  <c r="L96" i="4"/>
  <c r="O96" i="4" s="1"/>
  <c r="L269" i="4"/>
  <c r="O269" i="4" s="1"/>
  <c r="I280" i="4"/>
  <c r="K280" i="4" s="1"/>
  <c r="L222" i="4"/>
  <c r="O222" i="4" s="1"/>
  <c r="L128" i="4"/>
  <c r="O128" i="4" s="1"/>
  <c r="N322" i="4"/>
  <c r="N320" i="4" s="1"/>
  <c r="O308" i="4"/>
  <c r="O102" i="4"/>
  <c r="K183" i="4"/>
  <c r="P162" i="4"/>
  <c r="K153" i="4"/>
  <c r="M127" i="4"/>
  <c r="P127" i="4" s="1"/>
  <c r="K346" i="3"/>
  <c r="P385" i="4"/>
  <c r="O274" i="4"/>
  <c r="I242" i="4"/>
  <c r="I231" i="4" s="1"/>
  <c r="K231" i="4" s="1"/>
  <c r="O99" i="4"/>
  <c r="P341" i="4"/>
  <c r="P311" i="4"/>
  <c r="L309" i="4"/>
  <c r="O309" i="4" s="1"/>
  <c r="P287" i="4"/>
  <c r="L243" i="4"/>
  <c r="O243" i="4" s="1"/>
  <c r="K169" i="4"/>
  <c r="M46" i="4"/>
  <c r="M44" i="4" s="1"/>
  <c r="M358" i="4"/>
  <c r="M356" i="4" s="1"/>
  <c r="N335" i="4"/>
  <c r="N333" i="4" s="1"/>
  <c r="P308" i="4"/>
  <c r="M379" i="4"/>
  <c r="M377" i="4" s="1"/>
  <c r="P377" i="4" s="1"/>
  <c r="P364" i="4"/>
  <c r="M359" i="4"/>
  <c r="P359" i="4" s="1"/>
  <c r="M335" i="4"/>
  <c r="M333" i="4" s="1"/>
  <c r="N268" i="4"/>
  <c r="N266" i="4" s="1"/>
  <c r="L379" i="4"/>
  <c r="L377" i="4" s="1"/>
  <c r="O377" i="4" s="1"/>
  <c r="J351" i="4"/>
  <c r="K346" i="4"/>
  <c r="L322" i="4"/>
  <c r="O322" i="4" s="1"/>
  <c r="L268" i="4"/>
  <c r="O268" i="4" s="1"/>
  <c r="N188" i="4"/>
  <c r="N186" i="4" s="1"/>
  <c r="K154" i="4"/>
  <c r="N61" i="4"/>
  <c r="N59" i="4" s="1"/>
  <c r="I319" i="4"/>
  <c r="K319" i="4" s="1"/>
  <c r="L383" i="4"/>
  <c r="O383" i="4" s="1"/>
  <c r="P361" i="4"/>
  <c r="K344" i="4"/>
  <c r="L335" i="4"/>
  <c r="P271" i="4"/>
  <c r="M268" i="4"/>
  <c r="P268" i="4" s="1"/>
  <c r="L233" i="4"/>
  <c r="L214" i="4"/>
  <c r="O214" i="4" s="1"/>
  <c r="L188" i="4"/>
  <c r="M188" i="4"/>
  <c r="M186" i="4" s="1"/>
  <c r="K172" i="4"/>
  <c r="P178" i="4"/>
  <c r="M141" i="4"/>
  <c r="M139" i="4" s="1"/>
  <c r="L127" i="4"/>
  <c r="O127" i="4" s="1"/>
  <c r="N96" i="4"/>
  <c r="N94" i="4" s="1"/>
  <c r="L97" i="4"/>
  <c r="O97" i="4" s="1"/>
  <c r="P80" i="4"/>
  <c r="P77" i="4"/>
  <c r="O67" i="4"/>
  <c r="N358" i="4"/>
  <c r="N356" i="4" s="1"/>
  <c r="J332" i="4"/>
  <c r="L305" i="4"/>
  <c r="O305" i="4" s="1"/>
  <c r="K292" i="4"/>
  <c r="K249" i="4"/>
  <c r="K220" i="4"/>
  <c r="N141" i="4"/>
  <c r="N139" i="4" s="1"/>
  <c r="P133" i="4"/>
  <c r="I83" i="4"/>
  <c r="I71" i="4" s="1"/>
  <c r="K71" i="4" s="1"/>
  <c r="N26" i="4"/>
  <c r="N24" i="4" s="1"/>
  <c r="O382" i="4"/>
  <c r="N305" i="4"/>
  <c r="N303" i="4" s="1"/>
  <c r="P274" i="4"/>
  <c r="P191" i="4"/>
  <c r="P176" i="4"/>
  <c r="L131" i="4"/>
  <c r="O131" i="4" s="1"/>
  <c r="M74" i="4"/>
  <c r="P74" i="4" s="1"/>
  <c r="O64" i="4"/>
  <c r="N62" i="4"/>
  <c r="P52" i="4"/>
  <c r="P290" i="3"/>
  <c r="L233" i="3"/>
  <c r="M380" i="4"/>
  <c r="P380" i="4" s="1"/>
  <c r="L358" i="4"/>
  <c r="P338" i="4"/>
  <c r="N336" i="4"/>
  <c r="M305" i="4"/>
  <c r="P305" i="4" s="1"/>
  <c r="L236" i="4"/>
  <c r="O191" i="4"/>
  <c r="O178" i="4"/>
  <c r="K152" i="4"/>
  <c r="P147" i="4"/>
  <c r="P130" i="4"/>
  <c r="I92" i="4"/>
  <c r="K92" i="4" s="1"/>
  <c r="L62" i="4"/>
  <c r="P49" i="4"/>
  <c r="M47" i="4"/>
  <c r="P47" i="4" s="1"/>
  <c r="L19" i="4"/>
  <c r="O19" i="4" s="1"/>
  <c r="L380" i="4"/>
  <c r="O380" i="4" s="1"/>
  <c r="M336" i="4"/>
  <c r="M322" i="4"/>
  <c r="P322" i="4" s="1"/>
  <c r="L203" i="4"/>
  <c r="O203" i="4" s="1"/>
  <c r="P194" i="4"/>
  <c r="P144" i="4"/>
  <c r="M128" i="4"/>
  <c r="P128" i="4" s="1"/>
  <c r="O189" i="4"/>
  <c r="P189" i="4"/>
  <c r="N179" i="4"/>
  <c r="N163" i="4"/>
  <c r="L50" i="4"/>
  <c r="O50" i="4" s="1"/>
  <c r="O52" i="4"/>
  <c r="L46" i="4"/>
  <c r="I365" i="4"/>
  <c r="K365" i="4" s="1"/>
  <c r="L362" i="4"/>
  <c r="O362" i="4" s="1"/>
  <c r="L359" i="4"/>
  <c r="O359" i="4" s="1"/>
  <c r="J343" i="4"/>
  <c r="I332" i="4"/>
  <c r="N323" i="4"/>
  <c r="M288" i="4"/>
  <c r="P288" i="4" s="1"/>
  <c r="M179" i="4"/>
  <c r="P179" i="4" s="1"/>
  <c r="M163" i="4"/>
  <c r="P163" i="4" s="1"/>
  <c r="L145" i="4"/>
  <c r="O145" i="4" s="1"/>
  <c r="P64" i="4"/>
  <c r="M62" i="4"/>
  <c r="O60" i="4"/>
  <c r="L47" i="4"/>
  <c r="O47" i="4" s="1"/>
  <c r="L23" i="4"/>
  <c r="L21" i="4" s="1"/>
  <c r="O49" i="4"/>
  <c r="P25" i="4"/>
  <c r="N19" i="4"/>
  <c r="L285" i="4"/>
  <c r="O285" i="4" s="1"/>
  <c r="M326" i="4"/>
  <c r="P326" i="4" s="1"/>
  <c r="M323" i="4"/>
  <c r="P323" i="4" s="1"/>
  <c r="I302" i="4"/>
  <c r="K302" i="4" s="1"/>
  <c r="L288" i="4"/>
  <c r="O288" i="4" s="1"/>
  <c r="N284" i="4"/>
  <c r="N282" i="4" s="1"/>
  <c r="L254" i="4"/>
  <c r="O254" i="4" s="1"/>
  <c r="L179" i="4"/>
  <c r="O179" i="4" s="1"/>
  <c r="L163" i="4"/>
  <c r="O163" i="4" s="1"/>
  <c r="M97" i="4"/>
  <c r="P97" i="4" s="1"/>
  <c r="P99" i="4"/>
  <c r="N97" i="4"/>
  <c r="I82" i="4"/>
  <c r="L75" i="4"/>
  <c r="O75" i="4" s="1"/>
  <c r="O77" i="4"/>
  <c r="N74" i="4"/>
  <c r="N72" i="4" s="1"/>
  <c r="M19" i="4"/>
  <c r="I195" i="4"/>
  <c r="K195" i="4" s="1"/>
  <c r="L176" i="4"/>
  <c r="O176" i="4" s="1"/>
  <c r="P73" i="4"/>
  <c r="L339" i="4"/>
  <c r="O339" i="4" s="1"/>
  <c r="K369" i="3"/>
  <c r="P191" i="3"/>
  <c r="N379" i="4"/>
  <c r="N377" i="4" s="1"/>
  <c r="O361" i="4"/>
  <c r="O338" i="4"/>
  <c r="L326" i="4"/>
  <c r="O326" i="4" s="1"/>
  <c r="L323" i="4"/>
  <c r="O323" i="4" s="1"/>
  <c r="P304" i="4"/>
  <c r="M284" i="4"/>
  <c r="P284" i="4" s="1"/>
  <c r="P267" i="4"/>
  <c r="P187" i="4"/>
  <c r="M175" i="4"/>
  <c r="M159" i="4"/>
  <c r="P159" i="4" s="1"/>
  <c r="O144" i="4"/>
  <c r="N78" i="4"/>
  <c r="L74" i="4"/>
  <c r="M61" i="4"/>
  <c r="L142" i="4"/>
  <c r="O142" i="4" s="1"/>
  <c r="L336" i="4"/>
  <c r="K371" i="3"/>
  <c r="J351" i="3"/>
  <c r="L203" i="3"/>
  <c r="O203" i="3" s="1"/>
  <c r="O304" i="4"/>
  <c r="L284" i="4"/>
  <c r="O267" i="4"/>
  <c r="L234" i="4"/>
  <c r="K209" i="4"/>
  <c r="O187" i="4"/>
  <c r="L175" i="4"/>
  <c r="L159" i="4"/>
  <c r="M100" i="4"/>
  <c r="P100" i="4" s="1"/>
  <c r="P102" i="4"/>
  <c r="I93" i="4"/>
  <c r="K93" i="4" s="1"/>
  <c r="P67" i="4"/>
  <c r="M65" i="4"/>
  <c r="P65" i="4" s="1"/>
  <c r="L26" i="4"/>
  <c r="L160" i="4"/>
  <c r="O160" i="4" s="1"/>
  <c r="I242" i="3"/>
  <c r="K242" i="3" s="1"/>
  <c r="I238" i="3"/>
  <c r="K238" i="3" s="1"/>
  <c r="P283" i="4"/>
  <c r="K260" i="4"/>
  <c r="P174" i="4"/>
  <c r="P158" i="4"/>
  <c r="N127" i="4"/>
  <c r="N125" i="4" s="1"/>
  <c r="K85" i="4"/>
  <c r="L78" i="4"/>
  <c r="O78" i="4" s="1"/>
  <c r="O80" i="4"/>
  <c r="M26" i="4"/>
  <c r="P26" i="4" s="1"/>
  <c r="N23" i="4"/>
  <c r="N46" i="4"/>
  <c r="N44" i="4" s="1"/>
  <c r="M23" i="4"/>
  <c r="O22" i="4"/>
  <c r="L127" i="3"/>
  <c r="O127" i="3" s="1"/>
  <c r="L96" i="3"/>
  <c r="O96" i="3" s="1"/>
  <c r="L141" i="3"/>
  <c r="L139" i="3" s="1"/>
  <c r="M192" i="3"/>
  <c r="P192" i="3" s="1"/>
  <c r="P181" i="3"/>
  <c r="O102" i="3"/>
  <c r="O364" i="3"/>
  <c r="L236" i="3"/>
  <c r="P64" i="3"/>
  <c r="L142" i="1"/>
  <c r="O142" i="1" s="1"/>
  <c r="O165" i="1"/>
  <c r="L192" i="1"/>
  <c r="O192" i="1" s="1"/>
  <c r="O385" i="3"/>
  <c r="P382" i="3"/>
  <c r="L222" i="3"/>
  <c r="O222" i="3" s="1"/>
  <c r="O176" i="3"/>
  <c r="P99" i="3"/>
  <c r="I93" i="3"/>
  <c r="K93" i="3" s="1"/>
  <c r="O80" i="3"/>
  <c r="P77" i="3"/>
  <c r="O341" i="3"/>
  <c r="K292" i="3"/>
  <c r="N268" i="3"/>
  <c r="N266" i="3" s="1"/>
  <c r="K183" i="3"/>
  <c r="K169" i="3"/>
  <c r="P165" i="3"/>
  <c r="K153" i="3"/>
  <c r="N96" i="3"/>
  <c r="N94" i="3" s="1"/>
  <c r="I83" i="3"/>
  <c r="I71" i="3" s="1"/>
  <c r="K71" i="3" s="1"/>
  <c r="P52" i="3"/>
  <c r="L379" i="3"/>
  <c r="O379" i="3" s="1"/>
  <c r="O361" i="3"/>
  <c r="L254" i="3"/>
  <c r="O254" i="3" s="1"/>
  <c r="M159" i="3"/>
  <c r="P159" i="3" s="1"/>
  <c r="K152" i="3"/>
  <c r="M46" i="3"/>
  <c r="M44" i="3" s="1"/>
  <c r="L335" i="3"/>
  <c r="L333" i="3" s="1"/>
  <c r="M358" i="3"/>
  <c r="M356" i="3" s="1"/>
  <c r="N322" i="3"/>
  <c r="N320" i="3" s="1"/>
  <c r="M284" i="3"/>
  <c r="P284" i="3" s="1"/>
  <c r="O191" i="3"/>
  <c r="M175" i="3"/>
  <c r="M173" i="3" s="1"/>
  <c r="N335" i="3"/>
  <c r="N333" i="3" s="1"/>
  <c r="K369" i="2"/>
  <c r="K330" i="2"/>
  <c r="M383" i="3"/>
  <c r="P383" i="3" s="1"/>
  <c r="P364" i="3"/>
  <c r="O359" i="3"/>
  <c r="P325" i="3"/>
  <c r="N323" i="3"/>
  <c r="K293" i="3"/>
  <c r="P287" i="3"/>
  <c r="K195" i="3"/>
  <c r="L192" i="3"/>
  <c r="O192" i="3" s="1"/>
  <c r="O162" i="3"/>
  <c r="P102" i="3"/>
  <c r="L97" i="3"/>
  <c r="O97" i="3" s="1"/>
  <c r="O77" i="3"/>
  <c r="O64" i="3"/>
  <c r="P49" i="3"/>
  <c r="M362" i="1"/>
  <c r="P362" i="1" s="1"/>
  <c r="M309" i="3"/>
  <c r="P309" i="3" s="1"/>
  <c r="M285" i="3"/>
  <c r="P285" i="3" s="1"/>
  <c r="N188" i="3"/>
  <c r="N186" i="3" s="1"/>
  <c r="L189" i="3"/>
  <c r="O189" i="3" s="1"/>
  <c r="M176" i="3"/>
  <c r="P176" i="3" s="1"/>
  <c r="M160" i="3"/>
  <c r="P160" i="3" s="1"/>
  <c r="O49" i="3"/>
  <c r="N97" i="3"/>
  <c r="L288" i="2"/>
  <c r="O288" i="2" s="1"/>
  <c r="O382" i="3"/>
  <c r="P361" i="3"/>
  <c r="P341" i="3"/>
  <c r="O308" i="3"/>
  <c r="J231" i="3"/>
  <c r="J185" i="3" s="1"/>
  <c r="O165" i="3"/>
  <c r="P80" i="3"/>
  <c r="M74" i="3"/>
  <c r="P74" i="3" s="1"/>
  <c r="N74" i="3"/>
  <c r="N72" i="3" s="1"/>
  <c r="M47" i="3"/>
  <c r="P47" i="3" s="1"/>
  <c r="I92" i="1"/>
  <c r="K92" i="1" s="1"/>
  <c r="K368" i="3"/>
  <c r="L305" i="3"/>
  <c r="L303" i="3" s="1"/>
  <c r="O303" i="3" s="1"/>
  <c r="I302" i="3"/>
  <c r="K302" i="3" s="1"/>
  <c r="L284" i="3"/>
  <c r="O284" i="3" s="1"/>
  <c r="N284" i="3"/>
  <c r="N282" i="3" s="1"/>
  <c r="L243" i="3"/>
  <c r="O243" i="3" s="1"/>
  <c r="L214" i="3"/>
  <c r="O214" i="3" s="1"/>
  <c r="M128" i="3"/>
  <c r="P128" i="3" s="1"/>
  <c r="L65" i="3"/>
  <c r="O65" i="3" s="1"/>
  <c r="N46" i="3"/>
  <c r="N44" i="3" s="1"/>
  <c r="M379" i="3"/>
  <c r="P379" i="3" s="1"/>
  <c r="N358" i="3"/>
  <c r="N356" i="3" s="1"/>
  <c r="O338" i="3"/>
  <c r="L336" i="3"/>
  <c r="O336" i="3" s="1"/>
  <c r="K330" i="3"/>
  <c r="M305" i="3"/>
  <c r="P305" i="3" s="1"/>
  <c r="O181" i="3"/>
  <c r="P144" i="3"/>
  <c r="O99" i="3"/>
  <c r="I82" i="3"/>
  <c r="K82" i="3" s="1"/>
  <c r="N61" i="3"/>
  <c r="N59" i="3" s="1"/>
  <c r="M62" i="3"/>
  <c r="P62" i="3" s="1"/>
  <c r="O52" i="3"/>
  <c r="O47" i="3"/>
  <c r="J332" i="3"/>
  <c r="K332" i="3" s="1"/>
  <c r="O334" i="3"/>
  <c r="P328" i="3"/>
  <c r="O187" i="3"/>
  <c r="K108" i="3"/>
  <c r="I92" i="3"/>
  <c r="K92" i="3" s="1"/>
  <c r="M61" i="3"/>
  <c r="O133" i="2"/>
  <c r="L78" i="2"/>
  <c r="O78" i="2" s="1"/>
  <c r="L380" i="3"/>
  <c r="O380" i="3" s="1"/>
  <c r="J365" i="3"/>
  <c r="K365" i="3" s="1"/>
  <c r="M359" i="3"/>
  <c r="P359" i="3" s="1"/>
  <c r="L358" i="3"/>
  <c r="O328" i="3"/>
  <c r="L322" i="3"/>
  <c r="O322" i="3" s="1"/>
  <c r="L309" i="3"/>
  <c r="O309" i="3" s="1"/>
  <c r="O290" i="3"/>
  <c r="P283" i="3"/>
  <c r="M269" i="3"/>
  <c r="P269" i="3" s="1"/>
  <c r="L234" i="3"/>
  <c r="K198" i="3"/>
  <c r="M188" i="3"/>
  <c r="P178" i="3"/>
  <c r="N175" i="3"/>
  <c r="N173" i="3" s="1"/>
  <c r="O144" i="3"/>
  <c r="L142" i="3"/>
  <c r="O142" i="3" s="1"/>
  <c r="N141" i="3"/>
  <c r="N139" i="3" s="1"/>
  <c r="O130" i="3"/>
  <c r="L128" i="3"/>
  <c r="O128" i="3" s="1"/>
  <c r="N127" i="3"/>
  <c r="N125" i="3" s="1"/>
  <c r="L61" i="3"/>
  <c r="L59" i="3" s="1"/>
  <c r="L19" i="3"/>
  <c r="O22" i="3"/>
  <c r="O325" i="3"/>
  <c r="M322" i="3"/>
  <c r="O287" i="3"/>
  <c r="M142" i="3"/>
  <c r="P142" i="3" s="1"/>
  <c r="M19" i="3"/>
  <c r="P22" i="3"/>
  <c r="J343" i="3"/>
  <c r="P338" i="3"/>
  <c r="N305" i="3"/>
  <c r="N303" i="3" s="1"/>
  <c r="L269" i="3"/>
  <c r="O269" i="3" s="1"/>
  <c r="I202" i="3"/>
  <c r="K202" i="3" s="1"/>
  <c r="K209" i="3"/>
  <c r="L188" i="3"/>
  <c r="O178" i="3"/>
  <c r="N159" i="3"/>
  <c r="N157" i="3" s="1"/>
  <c r="M141" i="3"/>
  <c r="M139" i="3" s="1"/>
  <c r="M127" i="3"/>
  <c r="P127" i="3" s="1"/>
  <c r="L285" i="3"/>
  <c r="O285" i="3" s="1"/>
  <c r="M26" i="3"/>
  <c r="P26" i="3" s="1"/>
  <c r="P67" i="3"/>
  <c r="N23" i="3"/>
  <c r="N21" i="3" s="1"/>
  <c r="N358" i="1"/>
  <c r="N356" i="1" s="1"/>
  <c r="N379" i="3"/>
  <c r="N377" i="3" s="1"/>
  <c r="M335" i="3"/>
  <c r="M272" i="3"/>
  <c r="P272" i="3" s="1"/>
  <c r="M268" i="3"/>
  <c r="P268" i="3" s="1"/>
  <c r="I213" i="3"/>
  <c r="K213" i="3" s="1"/>
  <c r="M145" i="3"/>
  <c r="P145" i="3" s="1"/>
  <c r="M131" i="3"/>
  <c r="P131" i="3" s="1"/>
  <c r="N26" i="3"/>
  <c r="N24" i="3" s="1"/>
  <c r="N50" i="3"/>
  <c r="M23" i="3"/>
  <c r="N272" i="3"/>
  <c r="K371" i="2"/>
  <c r="J351" i="2"/>
  <c r="M305" i="2"/>
  <c r="P305" i="2" s="1"/>
  <c r="L235" i="2"/>
  <c r="L50" i="2"/>
  <c r="O50" i="2" s="1"/>
  <c r="K344" i="3"/>
  <c r="M306" i="3"/>
  <c r="P306" i="3" s="1"/>
  <c r="P304" i="3"/>
  <c r="L272" i="3"/>
  <c r="O272" i="3" s="1"/>
  <c r="L268" i="3"/>
  <c r="O268" i="3" s="1"/>
  <c r="L235" i="3"/>
  <c r="M189" i="3"/>
  <c r="P189" i="3" s="1"/>
  <c r="K154" i="3"/>
  <c r="O147" i="3"/>
  <c r="L145" i="3"/>
  <c r="O145" i="3" s="1"/>
  <c r="P140" i="3"/>
  <c r="O133" i="3"/>
  <c r="L131" i="3"/>
  <c r="O131" i="3" s="1"/>
  <c r="P126" i="3"/>
  <c r="L62" i="3"/>
  <c r="O62" i="3" s="1"/>
  <c r="O60" i="3"/>
  <c r="L26" i="3"/>
  <c r="N19" i="3"/>
  <c r="K229" i="3"/>
  <c r="L23" i="3"/>
  <c r="L175" i="3"/>
  <c r="L159" i="3"/>
  <c r="M96" i="3"/>
  <c r="L74" i="3"/>
  <c r="L46" i="3"/>
  <c r="L236" i="1"/>
  <c r="L339" i="2"/>
  <c r="O339" i="2" s="1"/>
  <c r="O311" i="2"/>
  <c r="L159" i="2"/>
  <c r="L157" i="2" s="1"/>
  <c r="N335" i="2"/>
  <c r="N333" i="2" s="1"/>
  <c r="L175" i="2"/>
  <c r="O175" i="2" s="1"/>
  <c r="O67" i="1"/>
  <c r="K154" i="2"/>
  <c r="P52" i="2"/>
  <c r="I280" i="1"/>
  <c r="K280" i="1" s="1"/>
  <c r="N335" i="1"/>
  <c r="N333" i="1" s="1"/>
  <c r="M269" i="1"/>
  <c r="P269" i="1" s="1"/>
  <c r="I281" i="1"/>
  <c r="K281" i="1" s="1"/>
  <c r="L322" i="1"/>
  <c r="L320" i="1" s="1"/>
  <c r="K346" i="2"/>
  <c r="L335" i="2"/>
  <c r="M188" i="2"/>
  <c r="M186" i="2" s="1"/>
  <c r="O191" i="2"/>
  <c r="L127" i="2"/>
  <c r="O127" i="2" s="1"/>
  <c r="M96" i="2"/>
  <c r="P96" i="2" s="1"/>
  <c r="N268" i="1"/>
  <c r="N266" i="1" s="1"/>
  <c r="K368" i="2"/>
  <c r="L222" i="2"/>
  <c r="O222" i="2" s="1"/>
  <c r="P178" i="2"/>
  <c r="P162" i="2"/>
  <c r="L46" i="2"/>
  <c r="L44" i="2" s="1"/>
  <c r="I365" i="2"/>
  <c r="K365" i="2" s="1"/>
  <c r="L362" i="2"/>
  <c r="O362" i="2" s="1"/>
  <c r="L254" i="2"/>
  <c r="O254" i="2" s="1"/>
  <c r="K229" i="2"/>
  <c r="N175" i="2"/>
  <c r="N173" i="2" s="1"/>
  <c r="N159" i="2"/>
  <c r="N157" i="2" s="1"/>
  <c r="P133" i="2"/>
  <c r="L358" i="2"/>
  <c r="L356" i="2" s="1"/>
  <c r="P290" i="2"/>
  <c r="K209" i="2"/>
  <c r="N127" i="2"/>
  <c r="N125" i="2" s="1"/>
  <c r="M61" i="2"/>
  <c r="M59" i="2" s="1"/>
  <c r="L359" i="2"/>
  <c r="M322" i="2"/>
  <c r="M320" i="2" s="1"/>
  <c r="N305" i="2"/>
  <c r="N303" i="2" s="1"/>
  <c r="P181" i="2"/>
  <c r="O174" i="2"/>
  <c r="I137" i="2"/>
  <c r="K137" i="2" s="1"/>
  <c r="P130" i="2"/>
  <c r="I136" i="1"/>
  <c r="K136" i="1" s="1"/>
  <c r="I172" i="1"/>
  <c r="K172" i="1" s="1"/>
  <c r="I213" i="1"/>
  <c r="K213" i="1" s="1"/>
  <c r="L268" i="1"/>
  <c r="O268" i="1" s="1"/>
  <c r="K346" i="1"/>
  <c r="P361" i="1"/>
  <c r="K369" i="1"/>
  <c r="N358" i="2"/>
  <c r="N356" i="2" s="1"/>
  <c r="O325" i="2"/>
  <c r="L284" i="2"/>
  <c r="O284" i="2" s="1"/>
  <c r="O274" i="2"/>
  <c r="L234" i="2"/>
  <c r="K221" i="2"/>
  <c r="K202" i="2"/>
  <c r="N188" i="2"/>
  <c r="N186" i="2" s="1"/>
  <c r="O181" i="2"/>
  <c r="P165" i="2"/>
  <c r="P147" i="2"/>
  <c r="L141" i="2"/>
  <c r="L139" i="2" s="1"/>
  <c r="O130" i="2"/>
  <c r="M100" i="2"/>
  <c r="P100" i="2" s="1"/>
  <c r="M97" i="2"/>
  <c r="P97" i="2" s="1"/>
  <c r="I93" i="2"/>
  <c r="K93" i="2" s="1"/>
  <c r="L74" i="2"/>
  <c r="O74" i="2" s="1"/>
  <c r="P49" i="2"/>
  <c r="P64" i="1"/>
  <c r="M74" i="1"/>
  <c r="P74" i="1" s="1"/>
  <c r="L323" i="1"/>
  <c r="L326" i="1"/>
  <c r="O326" i="1" s="1"/>
  <c r="N379" i="2"/>
  <c r="N377" i="2" s="1"/>
  <c r="J343" i="2"/>
  <c r="K344" i="2"/>
  <c r="O271" i="2"/>
  <c r="N268" i="2"/>
  <c r="N266" i="2" s="1"/>
  <c r="L233" i="2"/>
  <c r="I213" i="2"/>
  <c r="K213" i="2" s="1"/>
  <c r="L163" i="2"/>
  <c r="O163" i="2" s="1"/>
  <c r="O147" i="2"/>
  <c r="L128" i="2"/>
  <c r="O128" i="2" s="1"/>
  <c r="P80" i="2"/>
  <c r="O67" i="2"/>
  <c r="O64" i="2"/>
  <c r="N46" i="2"/>
  <c r="L47" i="2"/>
  <c r="O47" i="2" s="1"/>
  <c r="I221" i="1"/>
  <c r="K221" i="1" s="1"/>
  <c r="I253" i="1"/>
  <c r="K253" i="1" s="1"/>
  <c r="K319" i="2"/>
  <c r="M326" i="2"/>
  <c r="P326" i="2" s="1"/>
  <c r="M323" i="2"/>
  <c r="P323" i="2" s="1"/>
  <c r="P287" i="2"/>
  <c r="N232" i="2"/>
  <c r="L214" i="2"/>
  <c r="O214" i="2" s="1"/>
  <c r="L176" i="2"/>
  <c r="O176" i="2" s="1"/>
  <c r="L160" i="2"/>
  <c r="O160" i="2" s="1"/>
  <c r="I83" i="2"/>
  <c r="P77" i="2"/>
  <c r="M26" i="2"/>
  <c r="M24" i="2" s="1"/>
  <c r="P24" i="2" s="1"/>
  <c r="M19" i="2"/>
  <c r="P47" i="2"/>
  <c r="M127" i="1"/>
  <c r="M125" i="1" s="1"/>
  <c r="P125" i="1" s="1"/>
  <c r="L236" i="2"/>
  <c r="L203" i="2"/>
  <c r="O203" i="2" s="1"/>
  <c r="I172" i="2"/>
  <c r="K172" i="2" s="1"/>
  <c r="N74" i="2"/>
  <c r="N72" i="2" s="1"/>
  <c r="P144" i="2"/>
  <c r="N142" i="2"/>
  <c r="O142" i="2" s="1"/>
  <c r="P385" i="2"/>
  <c r="P382" i="2"/>
  <c r="O378" i="2"/>
  <c r="P357" i="2"/>
  <c r="P334" i="2"/>
  <c r="O323" i="2"/>
  <c r="P267" i="2"/>
  <c r="I253" i="2"/>
  <c r="K253" i="2" s="1"/>
  <c r="K167" i="2"/>
  <c r="I168" i="2"/>
  <c r="K168" i="2" s="1"/>
  <c r="I169" i="2"/>
  <c r="K169" i="2" s="1"/>
  <c r="N141" i="2"/>
  <c r="L96" i="2"/>
  <c r="M379" i="2"/>
  <c r="I281" i="2"/>
  <c r="K281" i="2" s="1"/>
  <c r="M128" i="1"/>
  <c r="P128" i="1" s="1"/>
  <c r="K153" i="1"/>
  <c r="M192" i="1"/>
  <c r="P192" i="1" s="1"/>
  <c r="N269" i="1"/>
  <c r="L309" i="1"/>
  <c r="O309" i="1" s="1"/>
  <c r="N379" i="1"/>
  <c r="N377" i="1" s="1"/>
  <c r="O385" i="2"/>
  <c r="O382" i="2"/>
  <c r="P364" i="2"/>
  <c r="P361" i="2"/>
  <c r="P341" i="2"/>
  <c r="P338" i="2"/>
  <c r="L322" i="2"/>
  <c r="L320" i="2" s="1"/>
  <c r="P311" i="2"/>
  <c r="M309" i="2"/>
  <c r="P309" i="2" s="1"/>
  <c r="N306" i="2"/>
  <c r="P274" i="2"/>
  <c r="M272" i="2"/>
  <c r="P272" i="2" s="1"/>
  <c r="I238" i="2"/>
  <c r="K238" i="2" s="1"/>
  <c r="P271" i="2"/>
  <c r="M269" i="2"/>
  <c r="P269" i="2" s="1"/>
  <c r="L233" i="1"/>
  <c r="L272" i="1"/>
  <c r="O272" i="1" s="1"/>
  <c r="O361" i="2"/>
  <c r="O338" i="2"/>
  <c r="P308" i="2"/>
  <c r="M306" i="2"/>
  <c r="P306" i="2" s="1"/>
  <c r="P187" i="2"/>
  <c r="I156" i="2"/>
  <c r="K156" i="2" s="1"/>
  <c r="O144" i="2"/>
  <c r="K108" i="2"/>
  <c r="P60" i="2"/>
  <c r="L26" i="2"/>
  <c r="O26" i="2" s="1"/>
  <c r="N26" i="2"/>
  <c r="N24" i="2" s="1"/>
  <c r="L235" i="1"/>
  <c r="L379" i="2"/>
  <c r="O379" i="2" s="1"/>
  <c r="N359" i="2"/>
  <c r="M358" i="2"/>
  <c r="J332" i="2"/>
  <c r="K332" i="2" s="1"/>
  <c r="N336" i="2"/>
  <c r="O336" i="2" s="1"/>
  <c r="M335" i="2"/>
  <c r="M268" i="2"/>
  <c r="P268" i="2" s="1"/>
  <c r="L243" i="2"/>
  <c r="P194" i="2"/>
  <c r="M192" i="2"/>
  <c r="P192" i="2" s="1"/>
  <c r="N189" i="2"/>
  <c r="L100" i="2"/>
  <c r="O100" i="2" s="1"/>
  <c r="I82" i="2"/>
  <c r="P67" i="2"/>
  <c r="M65" i="2"/>
  <c r="P65" i="2" s="1"/>
  <c r="N62" i="2"/>
  <c r="O62" i="2" s="1"/>
  <c r="P19" i="2"/>
  <c r="N65" i="2"/>
  <c r="P49" i="1"/>
  <c r="N23" i="1"/>
  <c r="N21" i="1" s="1"/>
  <c r="K152" i="1"/>
  <c r="M284" i="1"/>
  <c r="P284" i="1" s="1"/>
  <c r="L326" i="2"/>
  <c r="O326" i="2" s="1"/>
  <c r="P304" i="2"/>
  <c r="P191" i="2"/>
  <c r="M189" i="2"/>
  <c r="L97" i="2"/>
  <c r="O97" i="2" s="1"/>
  <c r="P64" i="2"/>
  <c r="M62" i="2"/>
  <c r="N61" i="2"/>
  <c r="N59" i="2" s="1"/>
  <c r="L19" i="2"/>
  <c r="O25" i="2"/>
  <c r="N19" i="2"/>
  <c r="P325" i="2"/>
  <c r="K314" i="2"/>
  <c r="L305" i="2"/>
  <c r="O305" i="2" s="1"/>
  <c r="K293" i="2"/>
  <c r="O287" i="2"/>
  <c r="L268" i="2"/>
  <c r="O268" i="2" s="1"/>
  <c r="K230" i="2"/>
  <c r="K198" i="2"/>
  <c r="L188" i="2"/>
  <c r="O178" i="2"/>
  <c r="O162" i="2"/>
  <c r="M141" i="2"/>
  <c r="M127" i="2"/>
  <c r="P127" i="2" s="1"/>
  <c r="P99" i="2"/>
  <c r="O77" i="2"/>
  <c r="L61" i="2"/>
  <c r="O49" i="2"/>
  <c r="P25" i="2"/>
  <c r="N23" i="2"/>
  <c r="L306" i="2"/>
  <c r="O306" i="2" s="1"/>
  <c r="N284" i="2"/>
  <c r="N282" i="2" s="1"/>
  <c r="K249" i="2"/>
  <c r="L192" i="2"/>
  <c r="O192" i="2" s="1"/>
  <c r="L189" i="2"/>
  <c r="K153" i="2"/>
  <c r="K85" i="2"/>
  <c r="M23" i="2"/>
  <c r="N322" i="2"/>
  <c r="N320" i="2" s="1"/>
  <c r="M284" i="2"/>
  <c r="P284" i="2" s="1"/>
  <c r="M175" i="2"/>
  <c r="P175" i="2" s="1"/>
  <c r="M159" i="2"/>
  <c r="P159" i="2" s="1"/>
  <c r="N96" i="2"/>
  <c r="N94" i="2" s="1"/>
  <c r="M74" i="2"/>
  <c r="P74" i="2" s="1"/>
  <c r="M46" i="2"/>
  <c r="L23" i="2"/>
  <c r="L21" i="2" s="1"/>
  <c r="N46" i="1"/>
  <c r="N96" i="1"/>
  <c r="N94" i="1" s="1"/>
  <c r="L145" i="1"/>
  <c r="O145" i="1" s="1"/>
  <c r="L254" i="1"/>
  <c r="O254" i="1" s="1"/>
  <c r="N284" i="1"/>
  <c r="N282" i="1" s="1"/>
  <c r="I302" i="1"/>
  <c r="K302" i="1" s="1"/>
  <c r="L46" i="1"/>
  <c r="L44" i="1" s="1"/>
  <c r="K202" i="1"/>
  <c r="P274" i="1"/>
  <c r="N305" i="1"/>
  <c r="N303" i="1" s="1"/>
  <c r="L339" i="1"/>
  <c r="O339" i="1" s="1"/>
  <c r="P67" i="1"/>
  <c r="M75" i="1"/>
  <c r="P75" i="1" s="1"/>
  <c r="M78" i="1"/>
  <c r="P78" i="1" s="1"/>
  <c r="L175" i="1"/>
  <c r="L173" i="1" s="1"/>
  <c r="O181" i="1"/>
  <c r="P191" i="1"/>
  <c r="M268" i="1"/>
  <c r="L214" i="1"/>
  <c r="O214" i="1" s="1"/>
  <c r="M61" i="1"/>
  <c r="M59" i="1" s="1"/>
  <c r="M163" i="1"/>
  <c r="P163" i="1" s="1"/>
  <c r="N188" i="1"/>
  <c r="N186" i="1" s="1"/>
  <c r="L234" i="1"/>
  <c r="O271" i="1"/>
  <c r="L50" i="1"/>
  <c r="O50" i="1" s="1"/>
  <c r="L160" i="1"/>
  <c r="O160" i="1" s="1"/>
  <c r="O162" i="1"/>
  <c r="M309" i="1"/>
  <c r="P309" i="1" s="1"/>
  <c r="L96" i="1"/>
  <c r="O96" i="1" s="1"/>
  <c r="L100" i="1"/>
  <c r="O100" i="1" s="1"/>
  <c r="O102" i="1"/>
  <c r="I238" i="1"/>
  <c r="K238" i="1" s="1"/>
  <c r="K249" i="1"/>
  <c r="K371" i="1"/>
  <c r="I365" i="1"/>
  <c r="K365" i="1" s="1"/>
  <c r="N47" i="1"/>
  <c r="O47" i="1" s="1"/>
  <c r="L61" i="1"/>
  <c r="M131" i="1"/>
  <c r="P131" i="1" s="1"/>
  <c r="P133" i="1"/>
  <c r="N141" i="1"/>
  <c r="N139" i="1" s="1"/>
  <c r="P144" i="1"/>
  <c r="M141" i="1"/>
  <c r="M139" i="1" s="1"/>
  <c r="P139" i="1" s="1"/>
  <c r="M189" i="1"/>
  <c r="P189" i="1" s="1"/>
  <c r="O64" i="1"/>
  <c r="I83" i="1"/>
  <c r="K83" i="1" s="1"/>
  <c r="O99" i="1"/>
  <c r="P102" i="1"/>
  <c r="N127" i="1"/>
  <c r="N125" i="1" s="1"/>
  <c r="K209" i="1"/>
  <c r="O308" i="1"/>
  <c r="L305" i="1"/>
  <c r="O305" i="1" s="1"/>
  <c r="N336" i="1"/>
  <c r="P336" i="1" s="1"/>
  <c r="O359" i="1"/>
  <c r="M97" i="1"/>
  <c r="P97" i="1" s="1"/>
  <c r="P99" i="1"/>
  <c r="N159" i="1"/>
  <c r="N157" i="1" s="1"/>
  <c r="L203" i="1"/>
  <c r="O203" i="1" s="1"/>
  <c r="P287" i="1"/>
  <c r="M285" i="1"/>
  <c r="P285" i="1" s="1"/>
  <c r="N50" i="1"/>
  <c r="N26" i="1"/>
  <c r="N24" i="1" s="1"/>
  <c r="O80" i="1"/>
  <c r="I242" i="1"/>
  <c r="M305" i="1"/>
  <c r="P382" i="1"/>
  <c r="M380" i="1"/>
  <c r="P380" i="1" s="1"/>
  <c r="N62" i="1"/>
  <c r="P62" i="1" s="1"/>
  <c r="N61" i="1"/>
  <c r="M188" i="1"/>
  <c r="L188" i="1"/>
  <c r="L186" i="1" s="1"/>
  <c r="O191" i="1"/>
  <c r="I195" i="1"/>
  <c r="K195" i="1" s="1"/>
  <c r="J332" i="1"/>
  <c r="K332" i="1" s="1"/>
  <c r="M379" i="1"/>
  <c r="P379" i="1" s="1"/>
  <c r="L269" i="1"/>
  <c r="O269" i="1" s="1"/>
  <c r="M306" i="1"/>
  <c r="P306" i="1" s="1"/>
  <c r="L222" i="1"/>
  <c r="O222" i="1" s="1"/>
  <c r="N285" i="1"/>
  <c r="M288" i="1"/>
  <c r="P288" i="1" s="1"/>
  <c r="O338" i="1"/>
  <c r="M383" i="1"/>
  <c r="P383" i="1" s="1"/>
  <c r="O176" i="1"/>
  <c r="I319" i="1"/>
  <c r="K319" i="1" s="1"/>
  <c r="N322" i="1"/>
  <c r="P338" i="1"/>
  <c r="J351" i="1"/>
  <c r="O361" i="1"/>
  <c r="J343" i="1"/>
  <c r="K368" i="1"/>
  <c r="P176" i="1"/>
  <c r="L383" i="1"/>
  <c r="O383" i="1" s="1"/>
  <c r="O385" i="1"/>
  <c r="L189" i="1"/>
  <c r="O189" i="1" s="1"/>
  <c r="O287" i="1"/>
  <c r="L285" i="1"/>
  <c r="O285" i="1" s="1"/>
  <c r="L335" i="1"/>
  <c r="M339" i="1"/>
  <c r="P339" i="1" s="1"/>
  <c r="M359" i="1"/>
  <c r="P359" i="1" s="1"/>
  <c r="P22" i="1"/>
  <c r="O25" i="1"/>
  <c r="O77" i="1"/>
  <c r="L127" i="1"/>
  <c r="O127" i="1" s="1"/>
  <c r="P328" i="1"/>
  <c r="M326" i="1"/>
  <c r="P326" i="1" s="1"/>
  <c r="L19" i="1"/>
  <c r="L23" i="1"/>
  <c r="M46" i="1"/>
  <c r="N74" i="1"/>
  <c r="N72" i="1" s="1"/>
  <c r="I82" i="1"/>
  <c r="K86" i="1"/>
  <c r="K109" i="1"/>
  <c r="L131" i="1"/>
  <c r="O131" i="1" s="1"/>
  <c r="M142" i="1"/>
  <c r="P142" i="1" s="1"/>
  <c r="M175" i="1"/>
  <c r="O178" i="1"/>
  <c r="M19" i="1"/>
  <c r="M23" i="1"/>
  <c r="M26" i="1"/>
  <c r="O49" i="1"/>
  <c r="N97" i="1"/>
  <c r="L141" i="1"/>
  <c r="O141" i="1" s="1"/>
  <c r="M160" i="1"/>
  <c r="P160" i="1" s="1"/>
  <c r="I156" i="1"/>
  <c r="K156" i="1" s="1"/>
  <c r="K169" i="1"/>
  <c r="N175" i="1"/>
  <c r="N173" i="1" s="1"/>
  <c r="M179" i="1"/>
  <c r="P179" i="1" s="1"/>
  <c r="N323" i="1"/>
  <c r="P325" i="1"/>
  <c r="M323" i="1"/>
  <c r="M335" i="1"/>
  <c r="M333" i="1" s="1"/>
  <c r="L362" i="1"/>
  <c r="O362" i="1" s="1"/>
  <c r="K344" i="1"/>
  <c r="L358" i="1"/>
  <c r="O290" i="1"/>
  <c r="L288" i="1"/>
  <c r="O288" i="1" s="1"/>
  <c r="M50" i="1"/>
  <c r="P50" i="1" s="1"/>
  <c r="L26" i="1"/>
  <c r="M96" i="1"/>
  <c r="O126" i="1"/>
  <c r="L128" i="1"/>
  <c r="O128" i="1" s="1"/>
  <c r="M145" i="1"/>
  <c r="P145" i="1" s="1"/>
  <c r="L159" i="1"/>
  <c r="O159" i="1" s="1"/>
  <c r="L243" i="1"/>
  <c r="M322" i="1"/>
  <c r="O325" i="1"/>
  <c r="L336" i="1"/>
  <c r="M358" i="1"/>
  <c r="L379" i="1"/>
  <c r="P283" i="1"/>
  <c r="O334" i="1"/>
  <c r="M47" i="1"/>
  <c r="L74" i="1"/>
  <c r="M159" i="1"/>
  <c r="P178" i="1"/>
  <c r="L284" i="1"/>
  <c r="O357" i="1"/>
  <c r="L380" i="1"/>
  <c r="O380" i="1" s="1"/>
  <c r="O382" i="1"/>
  <c r="L72" i="14" l="1"/>
  <c r="O72" i="14" s="1"/>
  <c r="M266" i="14"/>
  <c r="P266" i="14" s="1"/>
  <c r="M94" i="14"/>
  <c r="P94" i="14" s="1"/>
  <c r="O96" i="12"/>
  <c r="I70" i="12"/>
  <c r="K70" i="12" s="1"/>
  <c r="M94" i="13"/>
  <c r="P94" i="13" s="1"/>
  <c r="O173" i="13"/>
  <c r="L94" i="13"/>
  <c r="O94" i="13" s="1"/>
  <c r="P322" i="14"/>
  <c r="O47" i="14"/>
  <c r="P284" i="14"/>
  <c r="P285" i="14"/>
  <c r="O141" i="14"/>
  <c r="P188" i="14"/>
  <c r="M377" i="14"/>
  <c r="P377" i="14" s="1"/>
  <c r="N139" i="14"/>
  <c r="O139" i="14" s="1"/>
  <c r="P358" i="14"/>
  <c r="O127" i="14"/>
  <c r="O303" i="14"/>
  <c r="P47" i="14"/>
  <c r="M157" i="14"/>
  <c r="P157" i="14" s="1"/>
  <c r="O282" i="14"/>
  <c r="P175" i="14"/>
  <c r="M72" i="13"/>
  <c r="P72" i="13" s="1"/>
  <c r="P46" i="14"/>
  <c r="O356" i="14"/>
  <c r="O46" i="14"/>
  <c r="O188" i="4"/>
  <c r="P359" i="14"/>
  <c r="M282" i="12"/>
  <c r="P282" i="12" s="1"/>
  <c r="P141" i="14"/>
  <c r="K82" i="14"/>
  <c r="P305" i="14"/>
  <c r="O284" i="14"/>
  <c r="O59" i="14"/>
  <c r="L303" i="12"/>
  <c r="O303" i="12" s="1"/>
  <c r="P335" i="13"/>
  <c r="O306" i="14"/>
  <c r="L44" i="14"/>
  <c r="O44" i="14" s="1"/>
  <c r="O173" i="14"/>
  <c r="P61" i="14"/>
  <c r="O175" i="14"/>
  <c r="O358" i="14"/>
  <c r="M282" i="14"/>
  <c r="P282" i="14" s="1"/>
  <c r="M72" i="14"/>
  <c r="P72" i="14" s="1"/>
  <c r="P62" i="14"/>
  <c r="M356" i="14"/>
  <c r="P356" i="14" s="1"/>
  <c r="O46" i="13"/>
  <c r="O159" i="14"/>
  <c r="P320" i="14"/>
  <c r="P306" i="14"/>
  <c r="O359" i="14"/>
  <c r="L266" i="13"/>
  <c r="O266" i="13" s="1"/>
  <c r="O157" i="14"/>
  <c r="I231" i="13"/>
  <c r="K231" i="13" s="1"/>
  <c r="L232" i="14"/>
  <c r="I71" i="14"/>
  <c r="K71" i="14" s="1"/>
  <c r="K83" i="14"/>
  <c r="M59" i="14"/>
  <c r="P59" i="14" s="1"/>
  <c r="O175" i="13"/>
  <c r="O335" i="14"/>
  <c r="O61" i="14"/>
  <c r="K242" i="14"/>
  <c r="I231" i="14"/>
  <c r="L333" i="14"/>
  <c r="O333" i="14" s="1"/>
  <c r="K83" i="13"/>
  <c r="N20" i="14"/>
  <c r="N18" i="14" s="1"/>
  <c r="N21" i="14"/>
  <c r="O21" i="14" s="1"/>
  <c r="O188" i="14"/>
  <c r="L186" i="14"/>
  <c r="O186" i="14" s="1"/>
  <c r="M24" i="14"/>
  <c r="P24" i="14" s="1"/>
  <c r="P26" i="14"/>
  <c r="M186" i="14"/>
  <c r="P186" i="14" s="1"/>
  <c r="M173" i="14"/>
  <c r="P173" i="14" s="1"/>
  <c r="M333" i="14"/>
  <c r="P333" i="14" s="1"/>
  <c r="P335" i="14"/>
  <c r="M282" i="13"/>
  <c r="P282" i="13" s="1"/>
  <c r="O96" i="14"/>
  <c r="L94" i="14"/>
  <c r="L24" i="14"/>
  <c r="O24" i="14" s="1"/>
  <c r="O23" i="14"/>
  <c r="L20" i="14"/>
  <c r="L18" i="14" s="1"/>
  <c r="M303" i="14"/>
  <c r="P303" i="14" s="1"/>
  <c r="O336" i="14"/>
  <c r="O188" i="13"/>
  <c r="M139" i="14"/>
  <c r="M125" i="14"/>
  <c r="P125" i="14" s="1"/>
  <c r="O305" i="14"/>
  <c r="L232" i="12"/>
  <c r="P175" i="13"/>
  <c r="O268" i="14"/>
  <c r="L266" i="14"/>
  <c r="O266" i="14" s="1"/>
  <c r="O19" i="14"/>
  <c r="P23" i="14"/>
  <c r="M21" i="14"/>
  <c r="M20" i="14"/>
  <c r="M44" i="14"/>
  <c r="L320" i="14"/>
  <c r="O320" i="14" s="1"/>
  <c r="O322" i="14"/>
  <c r="L377" i="14"/>
  <c r="O377" i="14" s="1"/>
  <c r="L377" i="12"/>
  <c r="O377" i="12" s="1"/>
  <c r="M157" i="13"/>
  <c r="P157" i="13" s="1"/>
  <c r="L377" i="13"/>
  <c r="O377" i="13" s="1"/>
  <c r="L282" i="13"/>
  <c r="O282" i="13" s="1"/>
  <c r="O61" i="13"/>
  <c r="M157" i="12"/>
  <c r="P157" i="12" s="1"/>
  <c r="L157" i="13"/>
  <c r="O157" i="13" s="1"/>
  <c r="P379" i="13"/>
  <c r="N186" i="13"/>
  <c r="O186" i="13" s="1"/>
  <c r="L59" i="13"/>
  <c r="O59" i="13" s="1"/>
  <c r="O141" i="13"/>
  <c r="P176" i="13"/>
  <c r="P127" i="13"/>
  <c r="M125" i="13"/>
  <c r="P125" i="13" s="1"/>
  <c r="P173" i="11"/>
  <c r="O243" i="12"/>
  <c r="O186" i="12"/>
  <c r="M173" i="13"/>
  <c r="P173" i="13" s="1"/>
  <c r="O176" i="13"/>
  <c r="P359" i="13"/>
  <c r="O26" i="13"/>
  <c r="L320" i="13"/>
  <c r="O320" i="13" s="1"/>
  <c r="M139" i="13"/>
  <c r="P139" i="13" s="1"/>
  <c r="P141" i="13"/>
  <c r="M320" i="13"/>
  <c r="P320" i="13" s="1"/>
  <c r="P62" i="13"/>
  <c r="O188" i="12"/>
  <c r="L266" i="12"/>
  <c r="O266" i="12" s="1"/>
  <c r="O356" i="13"/>
  <c r="O59" i="12"/>
  <c r="M186" i="13"/>
  <c r="P188" i="13"/>
  <c r="M59" i="13"/>
  <c r="P59" i="13" s="1"/>
  <c r="P61" i="13"/>
  <c r="O358" i="13"/>
  <c r="P356" i="13"/>
  <c r="M20" i="13"/>
  <c r="P23" i="13"/>
  <c r="M21" i="13"/>
  <c r="O61" i="10"/>
  <c r="L20" i="13"/>
  <c r="O23" i="13"/>
  <c r="L21" i="13"/>
  <c r="P268" i="13"/>
  <c r="M266" i="13"/>
  <c r="P266" i="13" s="1"/>
  <c r="L44" i="13"/>
  <c r="P358" i="13"/>
  <c r="L72" i="13"/>
  <c r="O72" i="13" s="1"/>
  <c r="L157" i="12"/>
  <c r="O157" i="12" s="1"/>
  <c r="M24" i="13"/>
  <c r="P24" i="13" s="1"/>
  <c r="N20" i="13"/>
  <c r="N18" i="13" s="1"/>
  <c r="N21" i="13"/>
  <c r="O243" i="13"/>
  <c r="L232" i="13"/>
  <c r="K83" i="12"/>
  <c r="P46" i="13"/>
  <c r="K82" i="13"/>
  <c r="I70" i="13"/>
  <c r="K70" i="13" s="1"/>
  <c r="O335" i="13"/>
  <c r="L333" i="13"/>
  <c r="O333" i="13" s="1"/>
  <c r="L125" i="13"/>
  <c r="O125" i="13" s="1"/>
  <c r="O127" i="13"/>
  <c r="M333" i="13"/>
  <c r="P333" i="13" s="1"/>
  <c r="P44" i="13"/>
  <c r="M303" i="13"/>
  <c r="P303" i="13" s="1"/>
  <c r="P305" i="13"/>
  <c r="P336" i="13"/>
  <c r="P322" i="12"/>
  <c r="O61" i="12"/>
  <c r="O320" i="12"/>
  <c r="L125" i="12"/>
  <c r="O125" i="12" s="1"/>
  <c r="L282" i="12"/>
  <c r="O282" i="12" s="1"/>
  <c r="P46" i="11"/>
  <c r="M282" i="11"/>
  <c r="P282" i="11" s="1"/>
  <c r="K82" i="11"/>
  <c r="P175" i="12"/>
  <c r="O175" i="11"/>
  <c r="M173" i="12"/>
  <c r="P173" i="12" s="1"/>
  <c r="P335" i="12"/>
  <c r="O176" i="12"/>
  <c r="O173" i="12"/>
  <c r="M303" i="11"/>
  <c r="P303" i="11" s="1"/>
  <c r="P62" i="12"/>
  <c r="M125" i="12"/>
  <c r="P125" i="12" s="1"/>
  <c r="O175" i="12"/>
  <c r="O322" i="12"/>
  <c r="M320" i="11"/>
  <c r="P320" i="11" s="1"/>
  <c r="L20" i="12"/>
  <c r="O23" i="12"/>
  <c r="L21" i="12"/>
  <c r="O141" i="12"/>
  <c r="L139" i="12"/>
  <c r="O139" i="12" s="1"/>
  <c r="O336" i="12"/>
  <c r="P336" i="12"/>
  <c r="P358" i="12"/>
  <c r="P333" i="12"/>
  <c r="M320" i="10"/>
  <c r="P320" i="10" s="1"/>
  <c r="P186" i="11"/>
  <c r="O268" i="11"/>
  <c r="M24" i="12"/>
  <c r="P24" i="12" s="1"/>
  <c r="N20" i="12"/>
  <c r="N18" i="12" s="1"/>
  <c r="N21" i="12"/>
  <c r="P359" i="12"/>
  <c r="O359" i="12"/>
  <c r="K231" i="12"/>
  <c r="I185" i="12"/>
  <c r="K185" i="12" s="1"/>
  <c r="O358" i="12"/>
  <c r="N40" i="12"/>
  <c r="P46" i="12"/>
  <c r="P188" i="12"/>
  <c r="M186" i="12"/>
  <c r="P186" i="12" s="1"/>
  <c r="P305" i="12"/>
  <c r="M303" i="12"/>
  <c r="P303" i="12" s="1"/>
  <c r="L24" i="12"/>
  <c r="O24" i="12" s="1"/>
  <c r="O26" i="12"/>
  <c r="O356" i="12"/>
  <c r="P356" i="12"/>
  <c r="M44" i="12"/>
  <c r="M72" i="12"/>
  <c r="P72" i="12" s="1"/>
  <c r="O333" i="12"/>
  <c r="P141" i="12"/>
  <c r="M377" i="12"/>
  <c r="P377" i="12" s="1"/>
  <c r="O127" i="11"/>
  <c r="L44" i="12"/>
  <c r="O46" i="12"/>
  <c r="M20" i="12"/>
  <c r="P23" i="12"/>
  <c r="M21" i="12"/>
  <c r="P268" i="12"/>
  <c r="M266" i="12"/>
  <c r="P266" i="12" s="1"/>
  <c r="M94" i="12"/>
  <c r="P94" i="12" s="1"/>
  <c r="M59" i="12"/>
  <c r="P59" i="12" s="1"/>
  <c r="P61" i="12"/>
  <c r="P139" i="12"/>
  <c r="M320" i="12"/>
  <c r="P320" i="12" s="1"/>
  <c r="O335" i="12"/>
  <c r="L72" i="12"/>
  <c r="O72" i="12" s="1"/>
  <c r="P175" i="11"/>
  <c r="P356" i="11"/>
  <c r="O62" i="11"/>
  <c r="L94" i="11"/>
  <c r="O94" i="11" s="1"/>
  <c r="O61" i="11"/>
  <c r="L303" i="11"/>
  <c r="O303" i="11" s="1"/>
  <c r="L320" i="10"/>
  <c r="O320" i="10" s="1"/>
  <c r="M157" i="11"/>
  <c r="P157" i="11" s="1"/>
  <c r="P139" i="11"/>
  <c r="M125" i="11"/>
  <c r="P125" i="11" s="1"/>
  <c r="L59" i="11"/>
  <c r="O59" i="11" s="1"/>
  <c r="L282" i="11"/>
  <c r="O282" i="11" s="1"/>
  <c r="M266" i="11"/>
  <c r="P266" i="11" s="1"/>
  <c r="P358" i="11"/>
  <c r="K83" i="10"/>
  <c r="K83" i="11"/>
  <c r="M266" i="10"/>
  <c r="P266" i="10" s="1"/>
  <c r="O335" i="11"/>
  <c r="L333" i="11"/>
  <c r="O333" i="11" s="1"/>
  <c r="L320" i="11"/>
  <c r="O320" i="11" s="1"/>
  <c r="I185" i="11"/>
  <c r="K185" i="11" s="1"/>
  <c r="O188" i="10"/>
  <c r="M377" i="11"/>
  <c r="P377" i="11" s="1"/>
  <c r="M24" i="11"/>
  <c r="P24" i="11" s="1"/>
  <c r="O358" i="11"/>
  <c r="L139" i="9"/>
  <c r="O139" i="9" s="1"/>
  <c r="K82" i="10"/>
  <c r="M72" i="11"/>
  <c r="P72" i="11" s="1"/>
  <c r="P47" i="11"/>
  <c r="L157" i="11"/>
  <c r="O157" i="11" s="1"/>
  <c r="L72" i="11"/>
  <c r="O72" i="11" s="1"/>
  <c r="O21" i="11"/>
  <c r="L20" i="11"/>
  <c r="O23" i="11"/>
  <c r="L186" i="10"/>
  <c r="O186" i="10" s="1"/>
  <c r="P61" i="11"/>
  <c r="M59" i="11"/>
  <c r="P59" i="11" s="1"/>
  <c r="P96" i="11"/>
  <c r="M94" i="11"/>
  <c r="P94" i="11" s="1"/>
  <c r="M333" i="11"/>
  <c r="P333" i="11" s="1"/>
  <c r="P335" i="11"/>
  <c r="O47" i="11"/>
  <c r="P188" i="11"/>
  <c r="O188" i="11"/>
  <c r="O243" i="11"/>
  <c r="L232" i="11"/>
  <c r="O186" i="11"/>
  <c r="O141" i="11"/>
  <c r="L266" i="9"/>
  <c r="O266" i="9" s="1"/>
  <c r="L377" i="11"/>
  <c r="O377" i="11" s="1"/>
  <c r="O379" i="11"/>
  <c r="P141" i="11"/>
  <c r="O139" i="11"/>
  <c r="M20" i="11"/>
  <c r="P23" i="11"/>
  <c r="M21" i="11"/>
  <c r="P21" i="11" s="1"/>
  <c r="M44" i="11"/>
  <c r="L24" i="11"/>
  <c r="O24" i="11" s="1"/>
  <c r="O26" i="11"/>
  <c r="O46" i="11"/>
  <c r="L44" i="11"/>
  <c r="N40" i="11"/>
  <c r="K332" i="11"/>
  <c r="N20" i="11"/>
  <c r="N18" i="11" s="1"/>
  <c r="L356" i="11"/>
  <c r="O356" i="11" s="1"/>
  <c r="L173" i="11"/>
  <c r="O173" i="11" s="1"/>
  <c r="N59" i="10"/>
  <c r="O379" i="9"/>
  <c r="K332" i="10"/>
  <c r="O62" i="8"/>
  <c r="L125" i="9"/>
  <c r="O125" i="9" s="1"/>
  <c r="P335" i="9"/>
  <c r="O59" i="10"/>
  <c r="M282" i="10"/>
  <c r="P282" i="10" s="1"/>
  <c r="O358" i="10"/>
  <c r="O59" i="9"/>
  <c r="M377" i="9"/>
  <c r="P377" i="9" s="1"/>
  <c r="M139" i="10"/>
  <c r="P139" i="10" s="1"/>
  <c r="M125" i="10"/>
  <c r="P125" i="10" s="1"/>
  <c r="P379" i="10"/>
  <c r="O333" i="10"/>
  <c r="O305" i="10"/>
  <c r="L303" i="10"/>
  <c r="O303" i="10" s="1"/>
  <c r="O356" i="10"/>
  <c r="N20" i="10"/>
  <c r="N18" i="10" s="1"/>
  <c r="M157" i="10"/>
  <c r="P157" i="10" s="1"/>
  <c r="M72" i="10"/>
  <c r="P72" i="10" s="1"/>
  <c r="O335" i="10"/>
  <c r="P62" i="8"/>
  <c r="N21" i="10"/>
  <c r="L94" i="10"/>
  <c r="O94" i="10" s="1"/>
  <c r="P305" i="10"/>
  <c r="M303" i="10"/>
  <c r="P303" i="10" s="1"/>
  <c r="L72" i="10"/>
  <c r="O72" i="10" s="1"/>
  <c r="O74" i="10"/>
  <c r="N173" i="10"/>
  <c r="P173" i="10" s="1"/>
  <c r="P175" i="10"/>
  <c r="M356" i="10"/>
  <c r="P356" i="10" s="1"/>
  <c r="P358" i="10"/>
  <c r="M94" i="10"/>
  <c r="P94" i="10" s="1"/>
  <c r="P96" i="10"/>
  <c r="L266" i="10"/>
  <c r="O266" i="10" s="1"/>
  <c r="O268" i="10"/>
  <c r="L377" i="10"/>
  <c r="O377" i="10" s="1"/>
  <c r="O379" i="10"/>
  <c r="M333" i="10"/>
  <c r="P333" i="10" s="1"/>
  <c r="P335" i="10"/>
  <c r="M59" i="10"/>
  <c r="P61" i="10"/>
  <c r="N44" i="10"/>
  <c r="P44" i="10" s="1"/>
  <c r="P46" i="10"/>
  <c r="L282" i="10"/>
  <c r="O282" i="10" s="1"/>
  <c r="O175" i="10"/>
  <c r="P359" i="8"/>
  <c r="P358" i="9"/>
  <c r="L20" i="10"/>
  <c r="O23" i="10"/>
  <c r="K253" i="10"/>
  <c r="I231" i="10"/>
  <c r="L173" i="8"/>
  <c r="O173" i="8" s="1"/>
  <c r="M320" i="9"/>
  <c r="P320" i="9" s="1"/>
  <c r="M24" i="10"/>
  <c r="P24" i="10" s="1"/>
  <c r="O127" i="10"/>
  <c r="L125" i="10"/>
  <c r="O125" i="10" s="1"/>
  <c r="L232" i="10"/>
  <c r="O243" i="10"/>
  <c r="L44" i="10"/>
  <c r="P188" i="10"/>
  <c r="M186" i="10"/>
  <c r="P186" i="10" s="1"/>
  <c r="L157" i="10"/>
  <c r="O157" i="10" s="1"/>
  <c r="O61" i="9"/>
  <c r="M20" i="10"/>
  <c r="P23" i="10"/>
  <c r="M21" i="10"/>
  <c r="O141" i="10"/>
  <c r="L139" i="10"/>
  <c r="O139" i="10" s="1"/>
  <c r="L24" i="10"/>
  <c r="O24" i="10" s="1"/>
  <c r="O26" i="10"/>
  <c r="L21" i="10"/>
  <c r="M377" i="8"/>
  <c r="P377" i="8" s="1"/>
  <c r="P305" i="8"/>
  <c r="M125" i="9"/>
  <c r="P125" i="9" s="1"/>
  <c r="O46" i="9"/>
  <c r="N333" i="9"/>
  <c r="P333" i="9" s="1"/>
  <c r="P46" i="7"/>
  <c r="L282" i="8"/>
  <c r="O282" i="8" s="1"/>
  <c r="L282" i="9"/>
  <c r="O282" i="9" s="1"/>
  <c r="L232" i="9"/>
  <c r="O358" i="8"/>
  <c r="P358" i="8"/>
  <c r="O358" i="9"/>
  <c r="I71" i="9"/>
  <c r="K71" i="9" s="1"/>
  <c r="K83" i="9"/>
  <c r="O188" i="9"/>
  <c r="O96" i="9"/>
  <c r="L320" i="9"/>
  <c r="O320" i="9" s="1"/>
  <c r="M94" i="9"/>
  <c r="P94" i="9" s="1"/>
  <c r="P96" i="9"/>
  <c r="M282" i="7"/>
  <c r="P282" i="7" s="1"/>
  <c r="O186" i="8"/>
  <c r="K82" i="9"/>
  <c r="I70" i="9"/>
  <c r="K70" i="9" s="1"/>
  <c r="M266" i="9"/>
  <c r="P266" i="9" s="1"/>
  <c r="M59" i="9"/>
  <c r="P59" i="9" s="1"/>
  <c r="P61" i="9"/>
  <c r="N20" i="9"/>
  <c r="O159" i="9"/>
  <c r="L157" i="9"/>
  <c r="O157" i="9" s="1"/>
  <c r="P74" i="9"/>
  <c r="M72" i="9"/>
  <c r="P72" i="9" s="1"/>
  <c r="O305" i="9"/>
  <c r="L303" i="9"/>
  <c r="O303" i="9" s="1"/>
  <c r="M320" i="8"/>
  <c r="P320" i="8" s="1"/>
  <c r="O61" i="8"/>
  <c r="O175" i="9"/>
  <c r="L173" i="9"/>
  <c r="O173" i="9" s="1"/>
  <c r="L44" i="9"/>
  <c r="L333" i="9"/>
  <c r="O335" i="9"/>
  <c r="L186" i="9"/>
  <c r="O186" i="9" s="1"/>
  <c r="M282" i="9"/>
  <c r="P282" i="9" s="1"/>
  <c r="M266" i="7"/>
  <c r="P266" i="7" s="1"/>
  <c r="N303" i="8"/>
  <c r="P303" i="8" s="1"/>
  <c r="P159" i="9"/>
  <c r="M157" i="9"/>
  <c r="P157" i="9" s="1"/>
  <c r="L24" i="9"/>
  <c r="O24" i="9" s="1"/>
  <c r="O26" i="9"/>
  <c r="M186" i="9"/>
  <c r="P186" i="9" s="1"/>
  <c r="P188" i="9"/>
  <c r="N18" i="9"/>
  <c r="L94" i="7"/>
  <c r="O94" i="7" s="1"/>
  <c r="P21" i="8"/>
  <c r="P61" i="8"/>
  <c r="O305" i="8"/>
  <c r="M356" i="8"/>
  <c r="P356" i="8" s="1"/>
  <c r="P175" i="9"/>
  <c r="M173" i="9"/>
  <c r="P173" i="9" s="1"/>
  <c r="M24" i="9"/>
  <c r="P24" i="9" s="1"/>
  <c r="P26" i="9"/>
  <c r="K253" i="9"/>
  <c r="I231" i="9"/>
  <c r="N21" i="9"/>
  <c r="P21" i="9" s="1"/>
  <c r="M139" i="9"/>
  <c r="P139" i="9" s="1"/>
  <c r="M303" i="9"/>
  <c r="P303" i="9" s="1"/>
  <c r="O23" i="9"/>
  <c r="L21" i="9"/>
  <c r="L20" i="9"/>
  <c r="P335" i="8"/>
  <c r="L72" i="9"/>
  <c r="O72" i="9" s="1"/>
  <c r="O74" i="9"/>
  <c r="P46" i="9"/>
  <c r="M44" i="9"/>
  <c r="M20" i="9"/>
  <c r="P23" i="9"/>
  <c r="P19" i="9"/>
  <c r="P356" i="9"/>
  <c r="L356" i="9"/>
  <c r="O356" i="9" s="1"/>
  <c r="L232" i="8"/>
  <c r="O96" i="8"/>
  <c r="O74" i="8"/>
  <c r="N20" i="8"/>
  <c r="N18" i="8" s="1"/>
  <c r="L125" i="8"/>
  <c r="O125" i="8" s="1"/>
  <c r="O335" i="8"/>
  <c r="M125" i="8"/>
  <c r="P125" i="8" s="1"/>
  <c r="O46" i="8"/>
  <c r="L157" i="8"/>
  <c r="O157" i="8" s="1"/>
  <c r="P333" i="8"/>
  <c r="M94" i="8"/>
  <c r="P94" i="8" s="1"/>
  <c r="O333" i="8"/>
  <c r="O322" i="8"/>
  <c r="L320" i="8"/>
  <c r="O320" i="8" s="1"/>
  <c r="M94" i="7"/>
  <c r="P94" i="7" s="1"/>
  <c r="L377" i="7"/>
  <c r="O377" i="7" s="1"/>
  <c r="L303" i="7"/>
  <c r="O303" i="7" s="1"/>
  <c r="P186" i="8"/>
  <c r="O188" i="8"/>
  <c r="P188" i="8"/>
  <c r="O47" i="8"/>
  <c r="O141" i="8"/>
  <c r="N72" i="8"/>
  <c r="O61" i="7"/>
  <c r="L125" i="7"/>
  <c r="O125" i="7" s="1"/>
  <c r="P139" i="8"/>
  <c r="L266" i="8"/>
  <c r="O266" i="8" s="1"/>
  <c r="O139" i="8"/>
  <c r="P141" i="8"/>
  <c r="I71" i="8"/>
  <c r="K71" i="8" s="1"/>
  <c r="K83" i="8"/>
  <c r="M72" i="8"/>
  <c r="P74" i="8"/>
  <c r="L24" i="8"/>
  <c r="O24" i="8" s="1"/>
  <c r="P19" i="8"/>
  <c r="L377" i="8"/>
  <c r="O377" i="8" s="1"/>
  <c r="O379" i="8"/>
  <c r="P159" i="8"/>
  <c r="M157" i="8"/>
  <c r="P157" i="8" s="1"/>
  <c r="M24" i="8"/>
  <c r="P24" i="8" s="1"/>
  <c r="L303" i="8"/>
  <c r="O186" i="7"/>
  <c r="M173" i="8"/>
  <c r="P173" i="8" s="1"/>
  <c r="P175" i="8"/>
  <c r="O44" i="8"/>
  <c r="M266" i="8"/>
  <c r="P266" i="8" s="1"/>
  <c r="M59" i="8"/>
  <c r="P59" i="8" s="1"/>
  <c r="P142" i="8"/>
  <c r="L356" i="8"/>
  <c r="O356" i="8" s="1"/>
  <c r="O46" i="7"/>
  <c r="O23" i="8"/>
  <c r="L20" i="8"/>
  <c r="L21" i="8"/>
  <c r="O21" i="8" s="1"/>
  <c r="M20" i="8"/>
  <c r="P23" i="8"/>
  <c r="K82" i="8"/>
  <c r="I70" i="8"/>
  <c r="K70" i="8" s="1"/>
  <c r="L59" i="8"/>
  <c r="O59" i="8" s="1"/>
  <c r="P46" i="8"/>
  <c r="M44" i="8"/>
  <c r="K242" i="8"/>
  <c r="I231" i="8"/>
  <c r="M282" i="8"/>
  <c r="P282" i="8" s="1"/>
  <c r="P284" i="8"/>
  <c r="O62" i="5"/>
  <c r="P74" i="7"/>
  <c r="M125" i="7"/>
  <c r="P125" i="7" s="1"/>
  <c r="O188" i="7"/>
  <c r="P333" i="7"/>
  <c r="M282" i="6"/>
  <c r="P282" i="6" s="1"/>
  <c r="M320" i="7"/>
  <c r="P320" i="7" s="1"/>
  <c r="P61" i="7"/>
  <c r="M157" i="7"/>
  <c r="P157" i="7" s="1"/>
  <c r="M303" i="6"/>
  <c r="P303" i="6" s="1"/>
  <c r="N20" i="5"/>
  <c r="N18" i="5" s="1"/>
  <c r="P62" i="5"/>
  <c r="M303" i="7"/>
  <c r="P303" i="7" s="1"/>
  <c r="N20" i="7"/>
  <c r="N18" i="7" s="1"/>
  <c r="O59" i="6"/>
  <c r="O47" i="6"/>
  <c r="O44" i="6"/>
  <c r="P358" i="7"/>
  <c r="P59" i="7"/>
  <c r="P189" i="6"/>
  <c r="O379" i="6"/>
  <c r="L282" i="6"/>
  <c r="O282" i="6" s="1"/>
  <c r="L139" i="7"/>
  <c r="O139" i="7" s="1"/>
  <c r="L282" i="7"/>
  <c r="O282" i="7" s="1"/>
  <c r="P335" i="7"/>
  <c r="L232" i="7"/>
  <c r="O175" i="7"/>
  <c r="O173" i="7"/>
  <c r="P62" i="6"/>
  <c r="N44" i="7"/>
  <c r="P44" i="7" s="1"/>
  <c r="P62" i="7"/>
  <c r="P186" i="7"/>
  <c r="M377" i="7"/>
  <c r="P377" i="7" s="1"/>
  <c r="P188" i="7"/>
  <c r="O26" i="7"/>
  <c r="L24" i="7"/>
  <c r="O24" i="7" s="1"/>
  <c r="M20" i="7"/>
  <c r="P23" i="7"/>
  <c r="L157" i="7"/>
  <c r="O157" i="7" s="1"/>
  <c r="L72" i="7"/>
  <c r="O72" i="7" s="1"/>
  <c r="K82" i="7"/>
  <c r="I70" i="7"/>
  <c r="K70" i="7" s="1"/>
  <c r="N20" i="6"/>
  <c r="N18" i="6" s="1"/>
  <c r="L125" i="6"/>
  <c r="O125" i="6" s="1"/>
  <c r="L157" i="6"/>
  <c r="O157" i="6" s="1"/>
  <c r="L232" i="6"/>
  <c r="I71" i="7"/>
  <c r="K71" i="7" s="1"/>
  <c r="K83" i="7"/>
  <c r="L44" i="7"/>
  <c r="L333" i="7"/>
  <c r="O333" i="7" s="1"/>
  <c r="O335" i="7"/>
  <c r="M24" i="7"/>
  <c r="P24" i="7" s="1"/>
  <c r="O358" i="7"/>
  <c r="M173" i="7"/>
  <c r="P173" i="7" s="1"/>
  <c r="P175" i="7"/>
  <c r="O186" i="5"/>
  <c r="I231" i="7"/>
  <c r="K242" i="7"/>
  <c r="M21" i="7"/>
  <c r="O356" i="7"/>
  <c r="P19" i="7"/>
  <c r="M356" i="7"/>
  <c r="P356" i="7" s="1"/>
  <c r="L20" i="7"/>
  <c r="L21" i="7"/>
  <c r="O23" i="7"/>
  <c r="L266" i="7"/>
  <c r="O266" i="7" s="1"/>
  <c r="L320" i="7"/>
  <c r="O320" i="7" s="1"/>
  <c r="N21" i="7"/>
  <c r="L59" i="7"/>
  <c r="O59" i="7" s="1"/>
  <c r="P189" i="5"/>
  <c r="O175" i="6"/>
  <c r="O358" i="6"/>
  <c r="P61" i="6"/>
  <c r="M266" i="6"/>
  <c r="P266" i="6" s="1"/>
  <c r="O243" i="6"/>
  <c r="L303" i="6"/>
  <c r="O303" i="6" s="1"/>
  <c r="P175" i="6"/>
  <c r="O46" i="6"/>
  <c r="O173" i="6"/>
  <c r="O333" i="6"/>
  <c r="O61" i="6"/>
  <c r="O335" i="6"/>
  <c r="L94" i="6"/>
  <c r="O94" i="6" s="1"/>
  <c r="M320" i="6"/>
  <c r="P320" i="6" s="1"/>
  <c r="K332" i="6"/>
  <c r="M94" i="6"/>
  <c r="P94" i="6" s="1"/>
  <c r="M72" i="6"/>
  <c r="P72" i="6" s="1"/>
  <c r="L24" i="6"/>
  <c r="O24" i="6" s="1"/>
  <c r="M377" i="6"/>
  <c r="P377" i="6" s="1"/>
  <c r="M282" i="5"/>
  <c r="P282" i="5" s="1"/>
  <c r="P379" i="5"/>
  <c r="I231" i="6"/>
  <c r="K242" i="6"/>
  <c r="L72" i="6"/>
  <c r="O72" i="6" s="1"/>
  <c r="M139" i="6"/>
  <c r="P139" i="6" s="1"/>
  <c r="O141" i="6"/>
  <c r="L139" i="6"/>
  <c r="O139" i="6" s="1"/>
  <c r="L320" i="6"/>
  <c r="O320" i="6" s="1"/>
  <c r="O322" i="6"/>
  <c r="P188" i="6"/>
  <c r="M173" i="6"/>
  <c r="P173" i="6" s="1"/>
  <c r="M186" i="6"/>
  <c r="P186" i="6" s="1"/>
  <c r="N21" i="6"/>
  <c r="O21" i="6" s="1"/>
  <c r="P358" i="6"/>
  <c r="O188" i="6"/>
  <c r="L186" i="6"/>
  <c r="O186" i="6" s="1"/>
  <c r="P176" i="6"/>
  <c r="M24" i="6"/>
  <c r="P24" i="6" s="1"/>
  <c r="P26" i="6"/>
  <c r="P175" i="4"/>
  <c r="O268" i="6"/>
  <c r="L266" i="6"/>
  <c r="O266" i="6" s="1"/>
  <c r="I70" i="6"/>
  <c r="K70" i="6" s="1"/>
  <c r="K82" i="6"/>
  <c r="M59" i="6"/>
  <c r="P59" i="6" s="1"/>
  <c r="M157" i="6"/>
  <c r="P157" i="6" s="1"/>
  <c r="M333" i="6"/>
  <c r="P333" i="6" s="1"/>
  <c r="P335" i="6"/>
  <c r="M20" i="6"/>
  <c r="P23" i="6"/>
  <c r="M21" i="6"/>
  <c r="O59" i="5"/>
  <c r="M125" i="6"/>
  <c r="P125" i="6" s="1"/>
  <c r="P47" i="6"/>
  <c r="M44" i="6"/>
  <c r="I71" i="6"/>
  <c r="K71" i="6" s="1"/>
  <c r="K83" i="6"/>
  <c r="O23" i="6"/>
  <c r="L20" i="6"/>
  <c r="N356" i="6"/>
  <c r="O356" i="6" s="1"/>
  <c r="M125" i="5"/>
  <c r="P125" i="5" s="1"/>
  <c r="O61" i="5"/>
  <c r="I231" i="3"/>
  <c r="K231" i="3" s="1"/>
  <c r="L303" i="5"/>
  <c r="O303" i="5" s="1"/>
  <c r="O188" i="5"/>
  <c r="M125" i="4"/>
  <c r="P125" i="4" s="1"/>
  <c r="M266" i="4"/>
  <c r="P266" i="4" s="1"/>
  <c r="P186" i="4"/>
  <c r="O175" i="5"/>
  <c r="P175" i="5"/>
  <c r="M72" i="5"/>
  <c r="P72" i="5" s="1"/>
  <c r="O46" i="5"/>
  <c r="I70" i="5"/>
  <c r="K70" i="5" s="1"/>
  <c r="P46" i="5"/>
  <c r="M44" i="5"/>
  <c r="P44" i="5" s="1"/>
  <c r="M94" i="5"/>
  <c r="P94" i="5" s="1"/>
  <c r="L266" i="5"/>
  <c r="O266" i="5" s="1"/>
  <c r="O47" i="5"/>
  <c r="N20" i="4"/>
  <c r="N18" i="4" s="1"/>
  <c r="O335" i="5"/>
  <c r="O96" i="5"/>
  <c r="I185" i="4"/>
  <c r="K185" i="4" s="1"/>
  <c r="M139" i="5"/>
  <c r="P139" i="5" s="1"/>
  <c r="O358" i="5"/>
  <c r="L356" i="5"/>
  <c r="O356" i="5" s="1"/>
  <c r="N40" i="5"/>
  <c r="O333" i="5"/>
  <c r="K83" i="5"/>
  <c r="L24" i="5"/>
  <c r="O24" i="5" s="1"/>
  <c r="O26" i="5"/>
  <c r="M333" i="5"/>
  <c r="P333" i="5" s="1"/>
  <c r="P335" i="5"/>
  <c r="I70" i="3"/>
  <c r="K70" i="3" s="1"/>
  <c r="O62" i="4"/>
  <c r="L20" i="5"/>
  <c r="O23" i="5"/>
  <c r="M20" i="5"/>
  <c r="P23" i="5"/>
  <c r="M21" i="5"/>
  <c r="M356" i="5"/>
  <c r="P356" i="5" s="1"/>
  <c r="P358" i="5"/>
  <c r="O379" i="4"/>
  <c r="K242" i="4"/>
  <c r="M173" i="5"/>
  <c r="P173" i="5" s="1"/>
  <c r="L173" i="5"/>
  <c r="O173" i="5" s="1"/>
  <c r="L232" i="5"/>
  <c r="O243" i="5"/>
  <c r="L377" i="5"/>
  <c r="O377" i="5" s="1"/>
  <c r="O379" i="5"/>
  <c r="P268" i="5"/>
  <c r="M266" i="5"/>
  <c r="P266" i="5" s="1"/>
  <c r="L282" i="5"/>
  <c r="O282" i="5" s="1"/>
  <c r="O127" i="5"/>
  <c r="L125" i="5"/>
  <c r="O125" i="5" s="1"/>
  <c r="N21" i="5"/>
  <c r="O21" i="5" s="1"/>
  <c r="L72" i="5"/>
  <c r="O72" i="5" s="1"/>
  <c r="L44" i="5"/>
  <c r="M59" i="5"/>
  <c r="P59" i="5" s="1"/>
  <c r="P61" i="5"/>
  <c r="O141" i="4"/>
  <c r="O358" i="1"/>
  <c r="M94" i="4"/>
  <c r="P94" i="4" s="1"/>
  <c r="O141" i="5"/>
  <c r="L139" i="5"/>
  <c r="O139" i="5" s="1"/>
  <c r="K253" i="5"/>
  <c r="I231" i="5"/>
  <c r="M320" i="5"/>
  <c r="P320" i="5" s="1"/>
  <c r="M24" i="5"/>
  <c r="P24" i="5" s="1"/>
  <c r="P26" i="5"/>
  <c r="L157" i="5"/>
  <c r="O157" i="5" s="1"/>
  <c r="M157" i="5"/>
  <c r="P157" i="5" s="1"/>
  <c r="P305" i="5"/>
  <c r="M303" i="5"/>
  <c r="P303" i="5" s="1"/>
  <c r="L320" i="5"/>
  <c r="O320" i="5" s="1"/>
  <c r="M186" i="5"/>
  <c r="P186" i="5" s="1"/>
  <c r="P188" i="5"/>
  <c r="L320" i="4"/>
  <c r="O320" i="4" s="1"/>
  <c r="P62" i="4"/>
  <c r="L94" i="4"/>
  <c r="O94" i="4" s="1"/>
  <c r="P333" i="4"/>
  <c r="P335" i="4"/>
  <c r="O335" i="4"/>
  <c r="K83" i="4"/>
  <c r="M303" i="4"/>
  <c r="P303" i="4" s="1"/>
  <c r="M377" i="3"/>
  <c r="P377" i="3" s="1"/>
  <c r="P188" i="4"/>
  <c r="L232" i="3"/>
  <c r="O61" i="4"/>
  <c r="P379" i="4"/>
  <c r="L125" i="4"/>
  <c r="O125" i="4" s="1"/>
  <c r="M72" i="4"/>
  <c r="P72" i="4" s="1"/>
  <c r="O139" i="4"/>
  <c r="O358" i="4"/>
  <c r="P141" i="4"/>
  <c r="L266" i="4"/>
  <c r="O266" i="4" s="1"/>
  <c r="K83" i="3"/>
  <c r="M282" i="3"/>
  <c r="P282" i="3" s="1"/>
  <c r="K332" i="4"/>
  <c r="P358" i="4"/>
  <c r="L186" i="4"/>
  <c r="O186" i="4" s="1"/>
  <c r="M303" i="2"/>
  <c r="P303" i="2" s="1"/>
  <c r="P356" i="4"/>
  <c r="P336" i="4"/>
  <c r="L356" i="4"/>
  <c r="O356" i="4" s="1"/>
  <c r="L94" i="3"/>
  <c r="O94" i="3" s="1"/>
  <c r="P46" i="3"/>
  <c r="L333" i="4"/>
  <c r="O333" i="4" s="1"/>
  <c r="P139" i="4"/>
  <c r="N40" i="4"/>
  <c r="O336" i="4"/>
  <c r="M320" i="4"/>
  <c r="P320" i="4" s="1"/>
  <c r="M24" i="4"/>
  <c r="P24" i="4" s="1"/>
  <c r="L303" i="4"/>
  <c r="O303" i="4" s="1"/>
  <c r="L125" i="3"/>
  <c r="O125" i="3" s="1"/>
  <c r="L377" i="3"/>
  <c r="O377" i="3" s="1"/>
  <c r="O26" i="4"/>
  <c r="L24" i="4"/>
  <c r="O24" i="4" s="1"/>
  <c r="M282" i="4"/>
  <c r="P282" i="4" s="1"/>
  <c r="L44" i="4"/>
  <c r="O46" i="4"/>
  <c r="P46" i="4"/>
  <c r="L282" i="3"/>
  <c r="O282" i="3" s="1"/>
  <c r="M157" i="4"/>
  <c r="P157" i="4" s="1"/>
  <c r="O23" i="4"/>
  <c r="L20" i="4"/>
  <c r="L232" i="4"/>
  <c r="P44" i="4"/>
  <c r="O159" i="4"/>
  <c r="L157" i="4"/>
  <c r="O157" i="4" s="1"/>
  <c r="O284" i="4"/>
  <c r="L282" i="4"/>
  <c r="O282" i="4" s="1"/>
  <c r="K82" i="4"/>
  <c r="I70" i="4"/>
  <c r="K70" i="4" s="1"/>
  <c r="O175" i="4"/>
  <c r="L173" i="4"/>
  <c r="O173" i="4" s="1"/>
  <c r="P61" i="4"/>
  <c r="M59" i="4"/>
  <c r="P59" i="4" s="1"/>
  <c r="M173" i="4"/>
  <c r="P173" i="4" s="1"/>
  <c r="N21" i="4"/>
  <c r="O21" i="4" s="1"/>
  <c r="M20" i="4"/>
  <c r="P23" i="4"/>
  <c r="M21" i="4"/>
  <c r="O74" i="4"/>
  <c r="L72" i="4"/>
  <c r="O72" i="4" s="1"/>
  <c r="P19" i="4"/>
  <c r="O59" i="4"/>
  <c r="O188" i="3"/>
  <c r="P358" i="3"/>
  <c r="M157" i="3"/>
  <c r="P157" i="3" s="1"/>
  <c r="O139" i="3"/>
  <c r="O358" i="3"/>
  <c r="O305" i="3"/>
  <c r="O335" i="3"/>
  <c r="O358" i="2"/>
  <c r="O333" i="3"/>
  <c r="P188" i="2"/>
  <c r="O59" i="3"/>
  <c r="L266" i="3"/>
  <c r="O266" i="3" s="1"/>
  <c r="P358" i="2"/>
  <c r="O61" i="3"/>
  <c r="M303" i="3"/>
  <c r="P303" i="3" s="1"/>
  <c r="I71" i="1"/>
  <c r="K71" i="1" s="1"/>
  <c r="O356" i="2"/>
  <c r="M125" i="3"/>
  <c r="P125" i="3" s="1"/>
  <c r="O335" i="2"/>
  <c r="O157" i="2"/>
  <c r="N20" i="3"/>
  <c r="N18" i="3" s="1"/>
  <c r="P358" i="1"/>
  <c r="O322" i="1"/>
  <c r="P141" i="2"/>
  <c r="P335" i="2"/>
  <c r="L320" i="3"/>
  <c r="O320" i="3" s="1"/>
  <c r="P356" i="3"/>
  <c r="M72" i="3"/>
  <c r="P72" i="3" s="1"/>
  <c r="N40" i="3"/>
  <c r="P96" i="3"/>
  <c r="M94" i="3"/>
  <c r="P94" i="3" s="1"/>
  <c r="M20" i="3"/>
  <c r="P23" i="3"/>
  <c r="M21" i="3"/>
  <c r="P21" i="3" s="1"/>
  <c r="O189" i="2"/>
  <c r="L157" i="3"/>
  <c r="O157" i="3" s="1"/>
  <c r="O159" i="3"/>
  <c r="L24" i="3"/>
  <c r="O24" i="3" s="1"/>
  <c r="O26" i="3"/>
  <c r="M24" i="3"/>
  <c r="P24" i="3" s="1"/>
  <c r="O19" i="3"/>
  <c r="M59" i="3"/>
  <c r="P59" i="3" s="1"/>
  <c r="P61" i="3"/>
  <c r="P44" i="3"/>
  <c r="L173" i="3"/>
  <c r="O173" i="3" s="1"/>
  <c r="O175" i="3"/>
  <c r="M186" i="3"/>
  <c r="P186" i="3" s="1"/>
  <c r="P188" i="3"/>
  <c r="P175" i="3"/>
  <c r="L333" i="2"/>
  <c r="O333" i="2" s="1"/>
  <c r="M333" i="3"/>
  <c r="P333" i="3" s="1"/>
  <c r="P335" i="3"/>
  <c r="O46" i="3"/>
  <c r="L44" i="3"/>
  <c r="P139" i="3"/>
  <c r="O141" i="3"/>
  <c r="P141" i="3"/>
  <c r="M320" i="3"/>
  <c r="P320" i="3" s="1"/>
  <c r="P322" i="3"/>
  <c r="L20" i="3"/>
  <c r="L21" i="3"/>
  <c r="O21" i="3" s="1"/>
  <c r="O23" i="3"/>
  <c r="M282" i="1"/>
  <c r="P282" i="1" s="1"/>
  <c r="M94" i="2"/>
  <c r="P94" i="2" s="1"/>
  <c r="O46" i="2"/>
  <c r="L72" i="3"/>
  <c r="O72" i="3" s="1"/>
  <c r="O74" i="3"/>
  <c r="M266" i="3"/>
  <c r="P266" i="3" s="1"/>
  <c r="P19" i="3"/>
  <c r="P173" i="3"/>
  <c r="L186" i="3"/>
  <c r="O186" i="3" s="1"/>
  <c r="L356" i="3"/>
  <c r="O356" i="3" s="1"/>
  <c r="P141" i="1"/>
  <c r="M356" i="2"/>
  <c r="P356" i="2" s="1"/>
  <c r="O379" i="1"/>
  <c r="M266" i="2"/>
  <c r="P266" i="2" s="1"/>
  <c r="O159" i="2"/>
  <c r="O62" i="1"/>
  <c r="P61" i="1"/>
  <c r="L173" i="2"/>
  <c r="O173" i="2" s="1"/>
  <c r="M72" i="1"/>
  <c r="P72" i="1" s="1"/>
  <c r="P46" i="2"/>
  <c r="O61" i="2"/>
  <c r="L24" i="2"/>
  <c r="O24" i="2" s="1"/>
  <c r="L282" i="2"/>
  <c r="O282" i="2" s="1"/>
  <c r="L125" i="2"/>
  <c r="O125" i="2" s="1"/>
  <c r="N44" i="2"/>
  <c r="O44" i="2" s="1"/>
  <c r="O335" i="1"/>
  <c r="P61" i="2"/>
  <c r="P335" i="1"/>
  <c r="I231" i="1"/>
  <c r="I185" i="1" s="1"/>
  <c r="K185" i="1" s="1"/>
  <c r="O188" i="2"/>
  <c r="P189" i="2"/>
  <c r="O359" i="2"/>
  <c r="O141" i="2"/>
  <c r="P59" i="2"/>
  <c r="P26" i="2"/>
  <c r="L72" i="2"/>
  <c r="O72" i="2" s="1"/>
  <c r="L266" i="2"/>
  <c r="O266" i="2" s="1"/>
  <c r="O323" i="1"/>
  <c r="P359" i="2"/>
  <c r="N139" i="2"/>
  <c r="O139" i="2" s="1"/>
  <c r="K242" i="1"/>
  <c r="L377" i="1"/>
  <c r="O377" i="1" s="1"/>
  <c r="N320" i="1"/>
  <c r="O320" i="1" s="1"/>
  <c r="L266" i="1"/>
  <c r="O266" i="1" s="1"/>
  <c r="P62" i="2"/>
  <c r="P142" i="2"/>
  <c r="P127" i="1"/>
  <c r="M72" i="2"/>
  <c r="P72" i="2" s="1"/>
  <c r="K83" i="2"/>
  <c r="I71" i="2"/>
  <c r="K71" i="2" s="1"/>
  <c r="K82" i="2"/>
  <c r="I70" i="2"/>
  <c r="K70" i="2" s="1"/>
  <c r="O336" i="1"/>
  <c r="M20" i="2"/>
  <c r="M21" i="2"/>
  <c r="P23" i="2"/>
  <c r="M377" i="2"/>
  <c r="P377" i="2" s="1"/>
  <c r="P379" i="2"/>
  <c r="O320" i="2"/>
  <c r="L377" i="2"/>
  <c r="O377" i="2" s="1"/>
  <c r="O19" i="2"/>
  <c r="M139" i="2"/>
  <c r="L59" i="2"/>
  <c r="O59" i="2" s="1"/>
  <c r="L232" i="2"/>
  <c r="O243" i="2"/>
  <c r="O175" i="1"/>
  <c r="N20" i="2"/>
  <c r="N18" i="2" s="1"/>
  <c r="M173" i="2"/>
  <c r="P173" i="2" s="1"/>
  <c r="P320" i="2"/>
  <c r="L186" i="2"/>
  <c r="O186" i="2" s="1"/>
  <c r="M282" i="2"/>
  <c r="P282" i="2" s="1"/>
  <c r="O322" i="2"/>
  <c r="L94" i="2"/>
  <c r="O94" i="2" s="1"/>
  <c r="O96" i="2"/>
  <c r="O188" i="1"/>
  <c r="P323" i="1"/>
  <c r="O46" i="1"/>
  <c r="P186" i="2"/>
  <c r="P322" i="2"/>
  <c r="M333" i="2"/>
  <c r="P333" i="2" s="1"/>
  <c r="L20" i="2"/>
  <c r="O23" i="2"/>
  <c r="N21" i="2"/>
  <c r="O21" i="2" s="1"/>
  <c r="M125" i="2"/>
  <c r="P125" i="2" s="1"/>
  <c r="I231" i="2"/>
  <c r="M44" i="2"/>
  <c r="L303" i="2"/>
  <c r="O303" i="2" s="1"/>
  <c r="M157" i="2"/>
  <c r="P157" i="2" s="1"/>
  <c r="P336" i="2"/>
  <c r="L139" i="1"/>
  <c r="O139" i="1" s="1"/>
  <c r="O186" i="1"/>
  <c r="O173" i="1"/>
  <c r="M377" i="1"/>
  <c r="P377" i="1" s="1"/>
  <c r="N44" i="1"/>
  <c r="O44" i="1" s="1"/>
  <c r="P46" i="1"/>
  <c r="N59" i="1"/>
  <c r="P59" i="1" s="1"/>
  <c r="M266" i="1"/>
  <c r="P266" i="1" s="1"/>
  <c r="P268" i="1"/>
  <c r="P47" i="1"/>
  <c r="P305" i="1"/>
  <c r="M303" i="1"/>
  <c r="P303" i="1" s="1"/>
  <c r="P333" i="1"/>
  <c r="O26" i="1"/>
  <c r="N20" i="1"/>
  <c r="N18" i="1" s="1"/>
  <c r="M186" i="1"/>
  <c r="P186" i="1" s="1"/>
  <c r="P188" i="1"/>
  <c r="L303" i="1"/>
  <c r="O303" i="1" s="1"/>
  <c r="M356" i="1"/>
  <c r="P356" i="1" s="1"/>
  <c r="L59" i="1"/>
  <c r="O61" i="1"/>
  <c r="L94" i="1"/>
  <c r="O94" i="1" s="1"/>
  <c r="P159" i="1"/>
  <c r="M157" i="1"/>
  <c r="P157" i="1" s="1"/>
  <c r="M94" i="1"/>
  <c r="P94" i="1" s="1"/>
  <c r="P96" i="1"/>
  <c r="P26" i="1"/>
  <c r="M24" i="1"/>
  <c r="P24" i="1" s="1"/>
  <c r="O23" i="1"/>
  <c r="L20" i="1"/>
  <c r="L21" i="1"/>
  <c r="O21" i="1" s="1"/>
  <c r="L72" i="1"/>
  <c r="O74" i="1"/>
  <c r="L157" i="1"/>
  <c r="O157" i="1" s="1"/>
  <c r="P23" i="1"/>
  <c r="M20" i="1"/>
  <c r="P322" i="1"/>
  <c r="M320" i="1"/>
  <c r="P19" i="1"/>
  <c r="O19" i="1"/>
  <c r="I70" i="1"/>
  <c r="K70" i="1" s="1"/>
  <c r="K82" i="1"/>
  <c r="L125" i="1"/>
  <c r="O125" i="1" s="1"/>
  <c r="M21" i="1"/>
  <c r="P21" i="1" s="1"/>
  <c r="L24" i="1"/>
  <c r="O24" i="1" s="1"/>
  <c r="L356" i="1"/>
  <c r="O356" i="1" s="1"/>
  <c r="M44" i="1"/>
  <c r="P175" i="1"/>
  <c r="M173" i="1"/>
  <c r="P173" i="1" s="1"/>
  <c r="L232" i="1"/>
  <c r="O243" i="1"/>
  <c r="O284" i="1"/>
  <c r="L282" i="1"/>
  <c r="O282" i="1" s="1"/>
  <c r="L333" i="1"/>
  <c r="O333" i="1" s="1"/>
  <c r="P139" i="14" l="1"/>
  <c r="P21" i="14"/>
  <c r="N40" i="14"/>
  <c r="I185" i="13"/>
  <c r="K185" i="13" s="1"/>
  <c r="O18" i="14"/>
  <c r="O20" i="14"/>
  <c r="K231" i="14"/>
  <c r="I185" i="14"/>
  <c r="K185" i="14" s="1"/>
  <c r="P44" i="14"/>
  <c r="M40" i="14"/>
  <c r="P20" i="14"/>
  <c r="M18" i="14"/>
  <c r="P18" i="14" s="1"/>
  <c r="O94" i="14"/>
  <c r="L40" i="14"/>
  <c r="P186" i="13"/>
  <c r="N40" i="13"/>
  <c r="P21" i="13"/>
  <c r="O21" i="13"/>
  <c r="P20" i="13"/>
  <c r="M18" i="13"/>
  <c r="P18" i="13" s="1"/>
  <c r="M40" i="13"/>
  <c r="O44" i="13"/>
  <c r="L40" i="13"/>
  <c r="O20" i="13"/>
  <c r="L18" i="13"/>
  <c r="O18" i="13" s="1"/>
  <c r="O21" i="12"/>
  <c r="O44" i="12"/>
  <c r="L40" i="12"/>
  <c r="O40" i="12" s="1"/>
  <c r="P44" i="12"/>
  <c r="M40" i="12"/>
  <c r="P40" i="12" s="1"/>
  <c r="P20" i="12"/>
  <c r="M18" i="12"/>
  <c r="P18" i="12" s="1"/>
  <c r="O20" i="12"/>
  <c r="L18" i="12"/>
  <c r="O18" i="12" s="1"/>
  <c r="P21" i="12"/>
  <c r="P59" i="10"/>
  <c r="O333" i="9"/>
  <c r="N40" i="9"/>
  <c r="P44" i="11"/>
  <c r="M40" i="11"/>
  <c r="P40" i="11" s="1"/>
  <c r="O20" i="11"/>
  <c r="L18" i="11"/>
  <c r="O18" i="11" s="1"/>
  <c r="O44" i="11"/>
  <c r="L40" i="11"/>
  <c r="O40" i="11" s="1"/>
  <c r="P20" i="11"/>
  <c r="M18" i="11"/>
  <c r="P18" i="11" s="1"/>
  <c r="O173" i="10"/>
  <c r="N40" i="8"/>
  <c r="O21" i="10"/>
  <c r="P21" i="10"/>
  <c r="N40" i="10"/>
  <c r="K231" i="10"/>
  <c r="I185" i="10"/>
  <c r="K185" i="10" s="1"/>
  <c r="M40" i="10"/>
  <c r="P20" i="10"/>
  <c r="M18" i="10"/>
  <c r="P18" i="10" s="1"/>
  <c r="O44" i="10"/>
  <c r="L40" i="10"/>
  <c r="O20" i="10"/>
  <c r="L18" i="10"/>
  <c r="O18" i="10" s="1"/>
  <c r="O303" i="8"/>
  <c r="P20" i="9"/>
  <c r="M18" i="9"/>
  <c r="P18" i="9" s="1"/>
  <c r="P20" i="8"/>
  <c r="O20" i="9"/>
  <c r="L18" i="9"/>
  <c r="O18" i="9" s="1"/>
  <c r="K231" i="9"/>
  <c r="I185" i="9"/>
  <c r="K185" i="9" s="1"/>
  <c r="O72" i="8"/>
  <c r="P44" i="9"/>
  <c r="M40" i="9"/>
  <c r="O21" i="9"/>
  <c r="O44" i="9"/>
  <c r="L40" i="9"/>
  <c r="O40" i="9" s="1"/>
  <c r="M18" i="8"/>
  <c r="P18" i="8" s="1"/>
  <c r="P72" i="8"/>
  <c r="O20" i="8"/>
  <c r="L18" i="8"/>
  <c r="O18" i="8" s="1"/>
  <c r="L40" i="8"/>
  <c r="K231" i="8"/>
  <c r="I185" i="8"/>
  <c r="K185" i="8" s="1"/>
  <c r="P44" i="8"/>
  <c r="M40" i="8"/>
  <c r="P20" i="7"/>
  <c r="N40" i="7"/>
  <c r="O21" i="7"/>
  <c r="M18" i="7"/>
  <c r="P18" i="7" s="1"/>
  <c r="K231" i="7"/>
  <c r="I185" i="7"/>
  <c r="K185" i="7" s="1"/>
  <c r="P356" i="6"/>
  <c r="O44" i="7"/>
  <c r="L40" i="7"/>
  <c r="O20" i="7"/>
  <c r="L18" i="7"/>
  <c r="O18" i="7" s="1"/>
  <c r="P21" i="7"/>
  <c r="M40" i="7"/>
  <c r="N40" i="6"/>
  <c r="P21" i="6"/>
  <c r="K231" i="6"/>
  <c r="I185" i="6"/>
  <c r="K185" i="6" s="1"/>
  <c r="P44" i="6"/>
  <c r="M40" i="6"/>
  <c r="I185" i="3"/>
  <c r="K185" i="3" s="1"/>
  <c r="O20" i="6"/>
  <c r="L18" i="6"/>
  <c r="O18" i="6" s="1"/>
  <c r="P20" i="6"/>
  <c r="M18" i="6"/>
  <c r="P18" i="6" s="1"/>
  <c r="L40" i="6"/>
  <c r="P20" i="4"/>
  <c r="K231" i="5"/>
  <c r="I185" i="5"/>
  <c r="K185" i="5" s="1"/>
  <c r="M40" i="5"/>
  <c r="P40" i="5" s="1"/>
  <c r="P21" i="5"/>
  <c r="P20" i="5"/>
  <c r="M18" i="5"/>
  <c r="P18" i="5" s="1"/>
  <c r="O44" i="5"/>
  <c r="L40" i="5"/>
  <c r="O40" i="5" s="1"/>
  <c r="O20" i="5"/>
  <c r="L18" i="5"/>
  <c r="O18" i="5" s="1"/>
  <c r="M18" i="4"/>
  <c r="P18" i="4" s="1"/>
  <c r="M40" i="4"/>
  <c r="P40" i="4" s="1"/>
  <c r="P21" i="4"/>
  <c r="O20" i="4"/>
  <c r="L18" i="4"/>
  <c r="O18" i="4" s="1"/>
  <c r="O44" i="4"/>
  <c r="L40" i="4"/>
  <c r="O40" i="4" s="1"/>
  <c r="P20" i="3"/>
  <c r="O20" i="3"/>
  <c r="M40" i="3"/>
  <c r="P40" i="3" s="1"/>
  <c r="M18" i="3"/>
  <c r="P18" i="3" s="1"/>
  <c r="O44" i="3"/>
  <c r="L40" i="3"/>
  <c r="O40" i="3" s="1"/>
  <c r="L18" i="3"/>
  <c r="O18" i="3" s="1"/>
  <c r="K231" i="1"/>
  <c r="O20" i="2"/>
  <c r="P20" i="1"/>
  <c r="O59" i="1"/>
  <c r="P320" i="1"/>
  <c r="P139" i="2"/>
  <c r="N40" i="2"/>
  <c r="K231" i="2"/>
  <c r="I185" i="2"/>
  <c r="K185" i="2" s="1"/>
  <c r="P20" i="2"/>
  <c r="M18" i="2"/>
  <c r="P18" i="2" s="1"/>
  <c r="L40" i="2"/>
  <c r="N40" i="1"/>
  <c r="P44" i="2"/>
  <c r="M40" i="2"/>
  <c r="L18" i="2"/>
  <c r="O18" i="2" s="1"/>
  <c r="P21" i="2"/>
  <c r="O20" i="1"/>
  <c r="L18" i="1"/>
  <c r="O18" i="1" s="1"/>
  <c r="M18" i="1"/>
  <c r="P18" i="1" s="1"/>
  <c r="O72" i="1"/>
  <c r="L40" i="1"/>
  <c r="M40" i="1"/>
  <c r="P44" i="1"/>
  <c r="P40" i="14" l="1"/>
  <c r="O40" i="14"/>
  <c r="O40" i="13"/>
  <c r="P40" i="13"/>
  <c r="O40" i="8"/>
  <c r="P40" i="8"/>
  <c r="P40" i="9"/>
  <c r="P40" i="10"/>
  <c r="O40" i="10"/>
  <c r="O40" i="7"/>
  <c r="P40" i="7"/>
  <c r="O40" i="6"/>
  <c r="P40" i="6"/>
  <c r="P40" i="2"/>
  <c r="O40" i="2"/>
  <c r="O40" i="1"/>
  <c r="P40" i="1"/>
</calcChain>
</file>

<file path=xl/sharedStrings.xml><?xml version="1.0" encoding="utf-8"?>
<sst xmlns="http://schemas.openxmlformats.org/spreadsheetml/2006/main" count="9364" uniqueCount="170">
  <si>
    <t>รายละเอียดแผนงาน/โครงการ ผลผลิต/กิจกรรม ปีงบประมาณ พ.ศ. 2567</t>
  </si>
  <si>
    <t>สำนักงานการปฏิรูปที่ดินจังหวัด กระบี่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</si>
  <si>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</si>
  <si>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</si>
  <si>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</si>
  <si>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</si>
  <si>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</si>
  <si>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</si>
  <si>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</si>
  <si>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</si>
  <si>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</si>
  <si>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</si>
  <si>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</si>
  <si>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</si>
  <si>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</si>
  <si>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 ประจำปีงบประมาณ พ.ศ. 2566 ไปพลางก่อน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</si>
  <si>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</si>
  <si>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</si>
  <si>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</si>
  <si>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</si>
  <si>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</si>
  <si>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</si>
  <si>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</si>
  <si>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</si>
  <si>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</si>
  <si>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</si>
  <si>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</si>
  <si>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</si>
  <si>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</si>
  <si>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</si>
  <si>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</si>
  <si>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</si>
  <si>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</si>
  <si>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</si>
  <si>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</si>
  <si>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</si>
  <si>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</si>
  <si>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</si>
  <si>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</si>
  <si>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</si>
  <si>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</si>
  <si>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</si>
  <si>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</si>
  <si>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</si>
  <si>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</si>
  <si>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</si>
  <si>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</si>
  <si>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</si>
  <si>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</si>
  <si>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</si>
  <si>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</si>
  <si>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</si>
  <si>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</si>
  <si>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</si>
  <si>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</si>
  <si>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</si>
  <si>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กลุ่ม</t>
  </si>
  <si>
    <t>- การเตรียมการ (การจัดทำฐานข้อมูลสมุนไพรและแผนการผลิต ฯ)</t>
  </si>
  <si>
    <r>
      <rPr>
        <b/>
        <sz val="15"/>
        <color theme="1"/>
        <rFont val="Arial"/>
      </rPr>
      <t>- หลักสูตรที่ 1</t>
    </r>
    <r>
      <rPr>
        <b/>
        <sz val="15"/>
        <color theme="1"/>
        <rFont val="Arial"/>
      </rPr>
      <t xml:space="preserve"> การดูแลรักษาโรงอบ ฯ</t>
    </r>
  </si>
  <si>
    <r>
      <rPr>
        <b/>
        <sz val="15"/>
        <color theme="1"/>
        <rFont val="Arial"/>
      </rPr>
      <t>- หลักสูตรที่ 2</t>
    </r>
    <r>
      <rPr>
        <b/>
        <sz val="15"/>
        <color theme="1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</si>
  <si>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</si>
  <si>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</si>
  <si>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</si>
  <si>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</si>
  <si>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</si>
  <si>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</si>
  <si>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</si>
  <si>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</si>
  <si>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</si>
  <si>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</si>
  <si>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</si>
  <si>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</si>
  <si>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</si>
  <si>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</si>
  <si>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</si>
  <si>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</si>
  <si>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</si>
  <si>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</si>
  <si>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</si>
  <si>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</si>
  <si>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งบบริหารโครงการ</t>
  </si>
  <si>
    <t>- ค่าเบี้ยเลี้ยง/ที่พัก/พาหนะ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</si>
  <si>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</si>
  <si>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</si>
  <si>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</si>
  <si>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</si>
  <si>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</si>
  <si>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</si>
  <si>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</si>
  <si>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ค่าบริหารโครงการ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</si>
  <si>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</si>
  <si>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</si>
  <si>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</si>
  <si>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</si>
  <si>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</si>
  <si>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ค่าใช้จ่ายในการบริหารงาน</t>
  </si>
  <si>
    <t>- ค่าใช้จ่ายในการปฏิบัติงาน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</si>
  <si>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</si>
  <si>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</si>
  <si>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</si>
  <si>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</si>
  <si>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</si>
  <si>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</si>
  <si>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>- งบปัจจัยต้นแบบ/ศูนย์/กิจกรรม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</si>
  <si>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</si>
  <si>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</si>
  <si>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</si>
  <si>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</si>
  <si>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</si>
  <si>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</si>
  <si>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</si>
  <si>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</si>
  <si>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</si>
  <si>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</si>
  <si>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</si>
  <si>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</si>
  <si>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</si>
  <si>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theme="1"/>
        <rFont val="Arial"/>
      </rPr>
      <t xml:space="preserve">หลักสูตร </t>
    </r>
    <r>
      <rPr>
        <sz val="15"/>
        <color theme="1"/>
        <rFont val="Arial"/>
      </rPr>
      <t>แนวทางการเฝ้าระวังการเผาไหม้ฯ</t>
    </r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</si>
  <si>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theme="1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</si>
  <si>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theme="1"/>
        <rFont val="Arial"/>
      </rPr>
      <t>เฉพาะ</t>
    </r>
    <r>
      <rPr>
        <sz val="15"/>
        <color theme="1"/>
        <rFont val="Arial"/>
      </rPr>
      <t xml:space="preserve"> ที่ได้รับการอบรม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</si>
  <si>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</si>
  <si>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</si>
  <si>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</si>
  <si>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</si>
  <si>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ผู้ประกอบการต้นแบบ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</si>
  <si>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</si>
  <si>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</si>
  <si>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</si>
  <si>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</si>
  <si>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</si>
  <si>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</si>
  <si>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</si>
  <si>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</si>
  <si>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</si>
  <si>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</si>
  <si>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</si>
  <si>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</si>
  <si>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</si>
  <si>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</si>
  <si>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</si>
  <si>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</si>
  <si>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</si>
  <si>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</si>
  <si>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</si>
  <si>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</si>
  <si>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</si>
  <si>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</si>
  <si>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 (ภายใน พ.ค.67)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</si>
  <si>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</si>
  <si>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</si>
  <si>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</si>
  <si>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</si>
  <si>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</si>
  <si>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หมายเหตุ :</t>
  </si>
  <si>
    <t>สำนักงานการปฏิรูปที่ดินจังหวัด ชุมพร</t>
  </si>
  <si>
    <t>สำนักงานการปฏิรูปที่ดินจังหวัด ตรัง</t>
  </si>
  <si>
    <t>(5) โครงการพัฒนาพื้นที่ลุ่มน้ำปากพนัง</t>
  </si>
  <si>
    <t>สำนักงานการปฏิรูปที่ดินจังหวัด นครศรีธรรมราช</t>
  </si>
  <si>
    <t>สำนักงานการปฏิรูปที่ดินจังหวัด นราธิวาส</t>
  </si>
  <si>
    <t>สำนักงานการปฏิรูปที่ดินจังหวัด ปัตตานี</t>
  </si>
  <si>
    <t>สำนักงานการปฏิรูปที่ดินจังหวัด พังงา</t>
  </si>
  <si>
    <t>สำนักงานการปฏิรูปที่ดินจังหวัด พัทลุง</t>
  </si>
  <si>
    <t>- งบปลูกแฝก (ค่าขนกล้า)</t>
  </si>
  <si>
    <t>สำนักงานการปฏิรูปที่ดินจังหวัด ภูเก็ต</t>
  </si>
  <si>
    <t>สำนักงานการปฏิรูปที่ดินจังหวัด ยะลา</t>
  </si>
  <si>
    <t>สำนักงานการปฏิรูปที่ดินจังหวัด ระนอง</t>
  </si>
  <si>
    <t>สำนักงานการปฏิรูปที่ดินจังหวัด สงขลา</t>
  </si>
  <si>
    <t>สำนักงานการปฏิรูปที่ดินจังหวัด สตูล</t>
  </si>
  <si>
    <t>สำนักงานการปฏิรูปที่ดินจังหวัด สุราษฎร์ธานี</t>
  </si>
  <si>
    <t>ข้อมูล ณ 15 ธ.ค.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</si>
</sst>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_-;_-@"/>
  </numFmts>
  <fonts count="32" x14ac:knownFonts="1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sz val="10"/>
      <color theme="1"/>
      <name val="Arial"/>
      <scheme val="minor"/>
    </font>
    <font>
      <b/>
      <u/>
      <sz val="15"/>
      <color theme="1"/>
      <name val="Arial"/>
    </font>
    <font>
      <sz val="15"/>
      <color rgb="FFFF0000"/>
      <name val="Arial"/>
    </font>
    <font>
      <sz val="15"/>
      <color theme="1"/>
      <name val="Arial"/>
    </font>
    <font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u/>
      <sz val="15"/>
      <color theme="1"/>
      <name val="Arial"/>
    </font>
    <font>
      <b/>
      <u/>
      <sz val="15"/>
      <color theme="1"/>
      <name val="Arial"/>
    </font>
    <font>
      <sz val="10"/>
      <color rgb="FFFF0000"/>
      <name val="Arial"/>
    </font>
    <font>
      <b/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u/>
      <sz val="15"/>
      <color rgb="FFFF0000"/>
      <name val="Arial"/>
    </font>
    <font>
      <b/>
      <sz val="15"/>
      <color rgb="FFFFFFFF"/>
      <name val="Arial"/>
    </font>
    <font>
      <b/>
      <u/>
      <sz val="15"/>
      <color theme="1"/>
      <name val="Arial"/>
    </font>
    <font>
      <i/>
      <sz val="13"/>
      <color theme="1"/>
      <name val="Arial"/>
    </font>
    <font>
      <b/>
      <u/>
      <sz val="15"/>
      <color theme="1"/>
      <name val="Arial"/>
    </font>
    <font>
      <b/>
      <sz val="15"/>
      <color rgb="FF000000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33">
    <xf numFmtId="0" fontId="0" fillId="0" borderId="0" xfId="0" applyFont="1" applyAlignment="1"/>
    <xf numFmtId="0" fontId="2" fillId="2" borderId="1" xfId="0" applyFont="1" applyFill="1" applyBorder="1" applyAlignment="1"/>
    <xf numFmtId="187" fontId="2" fillId="2" borderId="1" xfId="0" applyNumberFormat="1" applyFont="1" applyFill="1" applyBorder="1" applyAlignment="1"/>
    <xf numFmtId="188" fontId="2" fillId="2" borderId="1" xfId="0" applyNumberFormat="1" applyFont="1" applyFill="1" applyBorder="1" applyAlignmen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88" fontId="1" fillId="4" borderId="4" xfId="0" applyNumberFormat="1" applyFont="1" applyFill="1" applyBorder="1" applyAlignment="1">
      <alignment horizontal="center"/>
    </xf>
    <xf numFmtId="187" fontId="1" fillId="4" borderId="4" xfId="0" applyNumberFormat="1" applyFont="1" applyFill="1" applyBorder="1" applyAlignment="1">
      <alignment horizontal="center" wrapText="1"/>
    </xf>
    <xf numFmtId="188" fontId="1" fillId="5" borderId="4" xfId="0" applyNumberFormat="1" applyFont="1" applyFill="1" applyBorder="1" applyAlignment="1">
      <alignment horizontal="center" wrapText="1"/>
    </xf>
    <xf numFmtId="188" fontId="1" fillId="7" borderId="4" xfId="0" applyNumberFormat="1" applyFont="1" applyFill="1" applyBorder="1" applyAlignment="1">
      <alignment horizontal="center" wrapText="1"/>
    </xf>
    <xf numFmtId="188" fontId="1" fillId="6" borderId="4" xfId="0" applyNumberFormat="1" applyFont="1" applyFill="1" applyBorder="1" applyAlignment="1">
      <alignment horizontal="center"/>
    </xf>
    <xf numFmtId="188" fontId="1" fillId="5" borderId="4" xfId="0" applyNumberFormat="1" applyFont="1" applyFill="1" applyBorder="1" applyAlignment="1">
      <alignment horizontal="center"/>
    </xf>
    <xf numFmtId="188" fontId="1" fillId="7" borderId="4" xfId="0" applyNumberFormat="1" applyFont="1" applyFill="1" applyBorder="1" applyAlignment="1">
      <alignment horizontal="center"/>
    </xf>
    <xf numFmtId="0" fontId="2" fillId="8" borderId="4" xfId="0" applyFont="1" applyFill="1" applyBorder="1" applyAlignment="1"/>
    <xf numFmtId="189" fontId="2" fillId="8" borderId="4" xfId="0" applyNumberFormat="1" applyFont="1" applyFill="1" applyBorder="1" applyAlignment="1"/>
    <xf numFmtId="188" fontId="2" fillId="8" borderId="4" xfId="0" applyNumberFormat="1" applyFont="1" applyFill="1" applyBorder="1" applyAlignment="1"/>
    <xf numFmtId="0" fontId="2" fillId="8" borderId="6" xfId="0" applyFont="1" applyFill="1" applyBorder="1" applyAlignment="1"/>
    <xf numFmtId="0" fontId="2" fillId="8" borderId="7" xfId="0" applyFont="1" applyFill="1" applyBorder="1" applyAlignment="1"/>
    <xf numFmtId="0" fontId="2" fillId="8" borderId="8" xfId="0" applyFont="1" applyFill="1" applyBorder="1" applyAlignment="1"/>
    <xf numFmtId="189" fontId="2" fillId="8" borderId="8" xfId="0" applyNumberFormat="1" applyFont="1" applyFill="1" applyBorder="1" applyAlignment="1"/>
    <xf numFmtId="188" fontId="2" fillId="8" borderId="8" xfId="0" applyNumberFormat="1" applyFont="1" applyFill="1" applyBorder="1" applyAlignment="1"/>
    <xf numFmtId="0" fontId="2" fillId="8" borderId="5" xfId="0" applyFont="1" applyFill="1" applyBorder="1" applyAlignment="1"/>
    <xf numFmtId="0" fontId="2" fillId="8" borderId="1" xfId="0" applyFont="1" applyFill="1" applyBorder="1" applyAlignment="1"/>
    <xf numFmtId="0" fontId="2" fillId="9" borderId="4" xfId="0" applyFont="1" applyFill="1" applyBorder="1" applyAlignment="1"/>
    <xf numFmtId="189" fontId="2" fillId="9" borderId="4" xfId="0" applyNumberFormat="1" applyFont="1" applyFill="1" applyBorder="1" applyAlignment="1"/>
    <xf numFmtId="188" fontId="2" fillId="9" borderId="4" xfId="0" applyNumberFormat="1" applyFont="1" applyFill="1" applyBorder="1" applyAlignment="1"/>
    <xf numFmtId="0" fontId="2" fillId="10" borderId="6" xfId="0" applyFont="1" applyFill="1" applyBorder="1" applyAlignment="1"/>
    <xf numFmtId="0" fontId="2" fillId="10" borderId="7" xfId="0" applyFont="1" applyFill="1" applyBorder="1" applyAlignment="1"/>
    <xf numFmtId="0" fontId="1" fillId="10" borderId="7" xfId="0" applyFont="1" applyFill="1" applyBorder="1" applyAlignment="1"/>
    <xf numFmtId="0" fontId="5" fillId="10" borderId="7" xfId="0" applyFont="1" applyFill="1" applyBorder="1" applyAlignment="1"/>
    <xf numFmtId="0" fontId="2" fillId="10" borderId="8" xfId="0" applyFont="1" applyFill="1" applyBorder="1" applyAlignment="1"/>
    <xf numFmtId="0" fontId="1" fillId="10" borderId="8" xfId="0" applyFont="1" applyFill="1" applyBorder="1" applyAlignment="1">
      <alignment horizontal="center"/>
    </xf>
    <xf numFmtId="189" fontId="2" fillId="10" borderId="8" xfId="0" applyNumberFormat="1" applyFont="1" applyFill="1" applyBorder="1" applyAlignment="1"/>
    <xf numFmtId="188" fontId="2" fillId="10" borderId="8" xfId="0" applyNumberFormat="1" applyFont="1" applyFill="1" applyBorder="1" applyAlignment="1"/>
    <xf numFmtId="188" fontId="1" fillId="10" borderId="8" xfId="0" applyNumberFormat="1" applyFont="1" applyFill="1" applyBorder="1" applyAlignment="1">
      <alignment horizontal="right"/>
    </xf>
    <xf numFmtId="0" fontId="6" fillId="10" borderId="7" xfId="0" applyFont="1" applyFill="1" applyBorder="1" applyAlignment="1"/>
    <xf numFmtId="0" fontId="6" fillId="10" borderId="8" xfId="0" applyFont="1" applyFill="1" applyBorder="1" applyAlignment="1">
      <alignment horizontal="center"/>
    </xf>
    <xf numFmtId="188" fontId="6" fillId="10" borderId="8" xfId="0" applyNumberFormat="1" applyFont="1" applyFill="1" applyBorder="1" applyAlignment="1">
      <alignment horizontal="right"/>
    </xf>
    <xf numFmtId="0" fontId="7" fillId="10" borderId="7" xfId="0" applyFont="1" applyFill="1" applyBorder="1" applyAlignment="1"/>
    <xf numFmtId="0" fontId="7" fillId="10" borderId="8" xfId="0" applyFont="1" applyFill="1" applyBorder="1" applyAlignment="1">
      <alignment horizontal="center"/>
    </xf>
    <xf numFmtId="188" fontId="7" fillId="10" borderId="8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0" fontId="8" fillId="2" borderId="7" xfId="0" applyFont="1" applyFill="1" applyBorder="1" applyAlignment="1"/>
    <xf numFmtId="0" fontId="2" fillId="2" borderId="8" xfId="0" applyFont="1" applyFill="1" applyBorder="1" applyAlignment="1"/>
    <xf numFmtId="0" fontId="7" fillId="2" borderId="8" xfId="0" applyFont="1" applyFill="1" applyBorder="1" applyAlignment="1">
      <alignment horizontal="center"/>
    </xf>
    <xf numFmtId="189" fontId="2" fillId="2" borderId="8" xfId="0" applyNumberFormat="1" applyFont="1" applyFill="1" applyBorder="1" applyAlignment="1"/>
    <xf numFmtId="188" fontId="2" fillId="2" borderId="8" xfId="0" applyNumberFormat="1" applyFont="1" applyFill="1" applyBorder="1" applyAlignment="1"/>
    <xf numFmtId="188" fontId="7" fillId="2" borderId="8" xfId="0" applyNumberFormat="1" applyFont="1" applyFill="1" applyBorder="1" applyAlignment="1">
      <alignment horizontal="right"/>
    </xf>
    <xf numFmtId="0" fontId="6" fillId="2" borderId="7" xfId="0" applyFont="1" applyFill="1" applyBorder="1" applyAlignment="1"/>
    <xf numFmtId="0" fontId="6" fillId="2" borderId="8" xfId="0" applyFont="1" applyFill="1" applyBorder="1" applyAlignment="1">
      <alignment horizontal="center"/>
    </xf>
    <xf numFmtId="188" fontId="6" fillId="2" borderId="8" xfId="0" applyNumberFormat="1" applyFont="1" applyFill="1" applyBorder="1" applyAlignment="1">
      <alignment horizontal="right"/>
    </xf>
    <xf numFmtId="0" fontId="7" fillId="2" borderId="7" xfId="0" applyFont="1" applyFill="1" applyBorder="1" applyAlignment="1"/>
    <xf numFmtId="0" fontId="2" fillId="2" borderId="5" xfId="0" applyFont="1" applyFill="1" applyBorder="1" applyAlignment="1"/>
    <xf numFmtId="0" fontId="7" fillId="2" borderId="1" xfId="0" applyFont="1" applyFill="1" applyBorder="1" applyAlignment="1"/>
    <xf numFmtId="0" fontId="2" fillId="2" borderId="4" xfId="0" applyFont="1" applyFill="1" applyBorder="1" applyAlignment="1"/>
    <xf numFmtId="0" fontId="7" fillId="2" borderId="4" xfId="0" applyFont="1" applyFill="1" applyBorder="1" applyAlignment="1">
      <alignment horizontal="center"/>
    </xf>
    <xf numFmtId="189" fontId="2" fillId="2" borderId="4" xfId="0" applyNumberFormat="1" applyFont="1" applyFill="1" applyBorder="1" applyAlignment="1"/>
    <xf numFmtId="188" fontId="2" fillId="2" borderId="4" xfId="0" applyNumberFormat="1" applyFont="1" applyFill="1" applyBorder="1" applyAlignment="1"/>
    <xf numFmtId="188" fontId="7" fillId="2" borderId="4" xfId="0" applyNumberFormat="1" applyFont="1" applyFill="1" applyBorder="1" applyAlignment="1">
      <alignment horizontal="right"/>
    </xf>
    <xf numFmtId="0" fontId="1" fillId="11" borderId="5" xfId="0" applyFont="1" applyFill="1" applyBorder="1" applyAlignment="1"/>
    <xf numFmtId="0" fontId="2" fillId="11" borderId="1" xfId="0" applyFont="1" applyFill="1" applyBorder="1" applyAlignment="1"/>
    <xf numFmtId="0" fontId="2" fillId="11" borderId="4" xfId="0" applyFont="1" applyFill="1" applyBorder="1" applyAlignment="1"/>
    <xf numFmtId="189" fontId="2" fillId="11" borderId="4" xfId="0" applyNumberFormat="1" applyFont="1" applyFill="1" applyBorder="1" applyAlignment="1"/>
    <xf numFmtId="188" fontId="2" fillId="11" borderId="4" xfId="0" applyNumberFormat="1" applyFont="1" applyFill="1" applyBorder="1" applyAlignment="1"/>
    <xf numFmtId="188" fontId="1" fillId="11" borderId="4" xfId="0" applyNumberFormat="1" applyFont="1" applyFill="1" applyBorder="1" applyAlignment="1">
      <alignment horizontal="right"/>
    </xf>
    <xf numFmtId="0" fontId="1" fillId="12" borderId="5" xfId="0" applyFont="1" applyFill="1" applyBorder="1" applyAlignment="1"/>
    <xf numFmtId="0" fontId="2" fillId="12" borderId="1" xfId="0" applyFont="1" applyFill="1" applyBorder="1" applyAlignment="1"/>
    <xf numFmtId="189" fontId="2" fillId="12" borderId="1" xfId="0" applyNumberFormat="1" applyFont="1" applyFill="1" applyBorder="1" applyAlignment="1"/>
    <xf numFmtId="188" fontId="2" fillId="12" borderId="1" xfId="0" applyNumberFormat="1" applyFont="1" applyFill="1" applyBorder="1" applyAlignment="1"/>
    <xf numFmtId="188" fontId="2" fillId="12" borderId="4" xfId="0" applyNumberFormat="1" applyFont="1" applyFill="1" applyBorder="1" applyAlignment="1"/>
    <xf numFmtId="0" fontId="2" fillId="13" borderId="7" xfId="0" applyFont="1" applyFill="1" applyBorder="1" applyAlignment="1"/>
    <xf numFmtId="0" fontId="1" fillId="13" borderId="7" xfId="0" applyFont="1" applyFill="1" applyBorder="1" applyAlignment="1"/>
    <xf numFmtId="0" fontId="2" fillId="13" borderId="8" xfId="0" applyFont="1" applyFill="1" applyBorder="1" applyAlignment="1"/>
    <xf numFmtId="189" fontId="2" fillId="13" borderId="8" xfId="0" applyNumberFormat="1" applyFont="1" applyFill="1" applyBorder="1" applyAlignment="1"/>
    <xf numFmtId="188" fontId="2" fillId="13" borderId="8" xfId="0" applyNumberFormat="1" applyFont="1" applyFill="1" applyBorder="1" applyAlignment="1"/>
    <xf numFmtId="0" fontId="2" fillId="14" borderId="6" xfId="0" applyFont="1" applyFill="1" applyBorder="1" applyAlignment="1"/>
    <xf numFmtId="0" fontId="2" fillId="14" borderId="7" xfId="0" applyFont="1" applyFill="1" applyBorder="1" applyAlignment="1"/>
    <xf numFmtId="0" fontId="1" fillId="14" borderId="7" xfId="0" applyFont="1" applyFill="1" applyBorder="1" applyAlignment="1"/>
    <xf numFmtId="0" fontId="9" fillId="14" borderId="7" xfId="0" applyFont="1" applyFill="1" applyBorder="1" applyAlignment="1"/>
    <xf numFmtId="0" fontId="2" fillId="14" borderId="8" xfId="0" applyFont="1" applyFill="1" applyBorder="1" applyAlignment="1"/>
    <xf numFmtId="0" fontId="1" fillId="14" borderId="8" xfId="0" applyFont="1" applyFill="1" applyBorder="1" applyAlignment="1">
      <alignment horizontal="center"/>
    </xf>
    <xf numFmtId="189" fontId="2" fillId="14" borderId="8" xfId="0" applyNumberFormat="1" applyFont="1" applyFill="1" applyBorder="1" applyAlignment="1"/>
    <xf numFmtId="188" fontId="2" fillId="14" borderId="8" xfId="0" applyNumberFormat="1" applyFont="1" applyFill="1" applyBorder="1" applyAlignment="1"/>
    <xf numFmtId="188" fontId="1" fillId="14" borderId="8" xfId="0" applyNumberFormat="1" applyFont="1" applyFill="1" applyBorder="1" applyAlignment="1">
      <alignment horizontal="right"/>
    </xf>
    <xf numFmtId="0" fontId="6" fillId="14" borderId="7" xfId="0" applyFont="1" applyFill="1" applyBorder="1" applyAlignment="1"/>
    <xf numFmtId="0" fontId="6" fillId="14" borderId="8" xfId="0" applyFont="1" applyFill="1" applyBorder="1" applyAlignment="1">
      <alignment horizontal="center"/>
    </xf>
    <xf numFmtId="188" fontId="6" fillId="14" borderId="8" xfId="0" applyNumberFormat="1" applyFont="1" applyFill="1" applyBorder="1" applyAlignment="1">
      <alignment horizontal="right"/>
    </xf>
    <xf numFmtId="0" fontId="7" fillId="14" borderId="7" xfId="0" applyFont="1" applyFill="1" applyBorder="1" applyAlignment="1"/>
    <xf numFmtId="0" fontId="7" fillId="14" borderId="8" xfId="0" applyFont="1" applyFill="1" applyBorder="1" applyAlignment="1">
      <alignment horizontal="center"/>
    </xf>
    <xf numFmtId="188" fontId="7" fillId="14" borderId="8" xfId="0" applyNumberFormat="1" applyFont="1" applyFill="1" applyBorder="1" applyAlignment="1">
      <alignment horizontal="right"/>
    </xf>
    <xf numFmtId="0" fontId="2" fillId="15" borderId="1" xfId="0" applyFont="1" applyFill="1" applyBorder="1" applyAlignment="1"/>
    <xf numFmtId="189" fontId="2" fillId="15" borderId="1" xfId="0" applyNumberFormat="1" applyFont="1" applyFill="1" applyBorder="1" applyAlignment="1"/>
    <xf numFmtId="188" fontId="2" fillId="15" borderId="1" xfId="0" applyNumberFormat="1" applyFont="1" applyFill="1" applyBorder="1" applyAlignment="1"/>
    <xf numFmtId="188" fontId="2" fillId="15" borderId="4" xfId="0" applyNumberFormat="1" applyFont="1" applyFill="1" applyBorder="1" applyAlignment="1"/>
    <xf numFmtId="0" fontId="2" fillId="16" borderId="6" xfId="0" applyFont="1" applyFill="1" applyBorder="1" applyAlignment="1"/>
    <xf numFmtId="0" fontId="2" fillId="16" borderId="8" xfId="0" applyFont="1" applyFill="1" applyBorder="1" applyAlignment="1"/>
    <xf numFmtId="189" fontId="2" fillId="16" borderId="8" xfId="0" applyNumberFormat="1" applyFont="1" applyFill="1" applyBorder="1" applyAlignment="1"/>
    <xf numFmtId="188" fontId="2" fillId="16" borderId="8" xfId="0" applyNumberFormat="1" applyFont="1" applyFill="1" applyBorder="1" applyAlignment="1"/>
    <xf numFmtId="0" fontId="2" fillId="17" borderId="6" xfId="0" applyFont="1" applyFill="1" applyBorder="1" applyAlignment="1"/>
    <xf numFmtId="0" fontId="1" fillId="17" borderId="7" xfId="0" applyFont="1" applyFill="1" applyBorder="1" applyAlignment="1"/>
    <xf numFmtId="0" fontId="2" fillId="17" borderId="7" xfId="0" applyFont="1" applyFill="1" applyBorder="1" applyAlignment="1"/>
    <xf numFmtId="0" fontId="2" fillId="17" borderId="8" xfId="0" applyFont="1" applyFill="1" applyBorder="1" applyAlignment="1"/>
    <xf numFmtId="189" fontId="2" fillId="17" borderId="8" xfId="0" applyNumberFormat="1" applyFont="1" applyFill="1" applyBorder="1" applyAlignment="1"/>
    <xf numFmtId="188" fontId="2" fillId="17" borderId="8" xfId="0" applyNumberFormat="1" applyFont="1" applyFill="1" applyBorder="1" applyAlignment="1"/>
    <xf numFmtId="0" fontId="2" fillId="18" borderId="6" xfId="0" applyFont="1" applyFill="1" applyBorder="1" applyAlignment="1"/>
    <xf numFmtId="0" fontId="2" fillId="18" borderId="7" xfId="0" applyFont="1" applyFill="1" applyBorder="1" applyAlignment="1"/>
    <xf numFmtId="0" fontId="1" fillId="18" borderId="7" xfId="0" applyFont="1" applyFill="1" applyBorder="1" applyAlignment="1"/>
    <xf numFmtId="0" fontId="10" fillId="18" borderId="7" xfId="0" applyFont="1" applyFill="1" applyBorder="1" applyAlignment="1"/>
    <xf numFmtId="0" fontId="2" fillId="18" borderId="8" xfId="0" applyFont="1" applyFill="1" applyBorder="1" applyAlignment="1"/>
    <xf numFmtId="0" fontId="1" fillId="18" borderId="8" xfId="0" applyFont="1" applyFill="1" applyBorder="1" applyAlignment="1">
      <alignment horizontal="center"/>
    </xf>
    <xf numFmtId="189" fontId="2" fillId="18" borderId="8" xfId="0" applyNumberFormat="1" applyFont="1" applyFill="1" applyBorder="1" applyAlignment="1"/>
    <xf numFmtId="188" fontId="2" fillId="18" borderId="8" xfId="0" applyNumberFormat="1" applyFont="1" applyFill="1" applyBorder="1" applyAlignment="1"/>
    <xf numFmtId="188" fontId="1" fillId="18" borderId="8" xfId="0" applyNumberFormat="1" applyFont="1" applyFill="1" applyBorder="1" applyAlignment="1">
      <alignment horizontal="right"/>
    </xf>
    <xf numFmtId="0" fontId="6" fillId="18" borderId="7" xfId="0" applyFont="1" applyFill="1" applyBorder="1" applyAlignment="1"/>
    <xf numFmtId="0" fontId="6" fillId="18" borderId="8" xfId="0" applyFont="1" applyFill="1" applyBorder="1" applyAlignment="1">
      <alignment horizontal="center"/>
    </xf>
    <xf numFmtId="188" fontId="6" fillId="18" borderId="8" xfId="0" applyNumberFormat="1" applyFont="1" applyFill="1" applyBorder="1" applyAlignment="1">
      <alignment horizontal="right"/>
    </xf>
    <xf numFmtId="0" fontId="7" fillId="18" borderId="7" xfId="0" applyFont="1" applyFill="1" applyBorder="1" applyAlignment="1"/>
    <xf numFmtId="0" fontId="7" fillId="18" borderId="8" xfId="0" applyFont="1" applyFill="1" applyBorder="1" applyAlignment="1">
      <alignment horizontal="center"/>
    </xf>
    <xf numFmtId="188" fontId="7" fillId="18" borderId="8" xfId="0" applyNumberFormat="1" applyFont="1" applyFill="1" applyBorder="1" applyAlignment="1">
      <alignment horizontal="right"/>
    </xf>
    <xf numFmtId="187" fontId="1" fillId="19" borderId="5" xfId="0" applyNumberFormat="1" applyFont="1" applyFill="1" applyBorder="1" applyAlignment="1"/>
    <xf numFmtId="187" fontId="2" fillId="19" borderId="1" xfId="0" applyNumberFormat="1" applyFont="1" applyFill="1" applyBorder="1" applyAlignment="1"/>
    <xf numFmtId="0" fontId="2" fillId="19" borderId="1" xfId="0" applyFont="1" applyFill="1" applyBorder="1" applyAlignment="1"/>
    <xf numFmtId="189" fontId="2" fillId="19" borderId="1" xfId="0" applyNumberFormat="1" applyFont="1" applyFill="1" applyBorder="1" applyAlignment="1"/>
    <xf numFmtId="188" fontId="2" fillId="19" borderId="1" xfId="0" applyNumberFormat="1" applyFont="1" applyFill="1" applyBorder="1" applyAlignment="1"/>
    <xf numFmtId="188" fontId="2" fillId="19" borderId="4" xfId="0" applyNumberFormat="1" applyFont="1" applyFill="1" applyBorder="1" applyAlignment="1"/>
    <xf numFmtId="187" fontId="1" fillId="20" borderId="6" xfId="0" applyNumberFormat="1" applyFont="1" applyFill="1" applyBorder="1" applyAlignment="1"/>
    <xf numFmtId="0" fontId="2" fillId="20" borderId="7" xfId="0" applyFont="1" applyFill="1" applyBorder="1" applyAlignment="1"/>
    <xf numFmtId="187" fontId="2" fillId="20" borderId="7" xfId="0" applyNumberFormat="1" applyFont="1" applyFill="1" applyBorder="1" applyAlignment="1"/>
    <xf numFmtId="0" fontId="2" fillId="20" borderId="8" xfId="0" applyFont="1" applyFill="1" applyBorder="1" applyAlignment="1"/>
    <xf numFmtId="189" fontId="2" fillId="20" borderId="8" xfId="0" applyNumberFormat="1" applyFont="1" applyFill="1" applyBorder="1" applyAlignment="1"/>
    <xf numFmtId="188" fontId="2" fillId="20" borderId="8" xfId="0" applyNumberFormat="1" applyFont="1" applyFill="1" applyBorder="1" applyAlignment="1"/>
    <xf numFmtId="190" fontId="2" fillId="10" borderId="6" xfId="0" applyNumberFormat="1" applyFont="1" applyFill="1" applyBorder="1" applyAlignment="1"/>
    <xf numFmtId="0" fontId="1" fillId="10" borderId="7" xfId="0" applyFont="1" applyFill="1" applyBorder="1" applyAlignment="1"/>
    <xf numFmtId="187" fontId="2" fillId="10" borderId="7" xfId="0" applyNumberFormat="1" applyFont="1" applyFill="1" applyBorder="1" applyAlignment="1"/>
    <xf numFmtId="0" fontId="1" fillId="10" borderId="8" xfId="0" applyFont="1" applyFill="1" applyBorder="1" applyAlignment="1">
      <alignment horizontal="center" wrapText="1"/>
    </xf>
    <xf numFmtId="189" fontId="1" fillId="10" borderId="8" xfId="0" applyNumberFormat="1" applyFont="1" applyFill="1" applyBorder="1" applyAlignment="1">
      <alignment horizontal="right"/>
    </xf>
    <xf numFmtId="190" fontId="2" fillId="2" borderId="6" xfId="0" applyNumberFormat="1" applyFont="1" applyFill="1" applyBorder="1" applyAlignment="1"/>
    <xf numFmtId="0" fontId="1" fillId="2" borderId="7" xfId="0" applyFont="1" applyFill="1" applyBorder="1" applyAlignment="1"/>
    <xf numFmtId="0" fontId="11" fillId="2" borderId="7" xfId="0" applyFont="1" applyFill="1" applyBorder="1" applyAlignment="1"/>
    <xf numFmtId="187" fontId="1" fillId="2" borderId="8" xfId="0" applyNumberFormat="1" applyFont="1" applyFill="1" applyBorder="1" applyAlignment="1">
      <alignment horizontal="center"/>
    </xf>
    <xf numFmtId="188" fontId="1" fillId="2" borderId="8" xfId="0" applyNumberFormat="1" applyFont="1" applyFill="1" applyBorder="1" applyAlignment="1">
      <alignment horizontal="right"/>
    </xf>
    <xf numFmtId="187" fontId="6" fillId="2" borderId="8" xfId="0" applyNumberFormat="1" applyFont="1" applyFill="1" applyBorder="1" applyAlignment="1">
      <alignment horizontal="center"/>
    </xf>
    <xf numFmtId="187" fontId="7" fillId="2" borderId="8" xfId="0" applyNumberFormat="1" applyFont="1" applyFill="1" applyBorder="1" applyAlignment="1">
      <alignment horizontal="center"/>
    </xf>
    <xf numFmtId="187" fontId="7" fillId="0" borderId="8" xfId="0" applyNumberFormat="1" applyFont="1" applyBorder="1" applyAlignment="1">
      <alignment horizontal="center" wrapText="1"/>
    </xf>
    <xf numFmtId="189" fontId="2" fillId="0" borderId="8" xfId="0" applyNumberFormat="1" applyFont="1" applyBorder="1" applyAlignment="1"/>
    <xf numFmtId="188" fontId="2" fillId="0" borderId="8" xfId="0" applyNumberFormat="1" applyFont="1" applyBorder="1" applyAlignment="1"/>
    <xf numFmtId="187" fontId="6" fillId="0" borderId="8" xfId="0" applyNumberFormat="1" applyFont="1" applyBorder="1" applyAlignment="1">
      <alignment horizontal="center" wrapText="1"/>
    </xf>
    <xf numFmtId="187" fontId="7" fillId="0" borderId="8" xfId="0" applyNumberFormat="1" applyFont="1" applyBorder="1" applyAlignment="1">
      <alignment horizontal="center"/>
    </xf>
    <xf numFmtId="187" fontId="2" fillId="0" borderId="6" xfId="0" applyNumberFormat="1" applyFont="1" applyBorder="1" applyAlignment="1"/>
    <xf numFmtId="187" fontId="2" fillId="0" borderId="7" xfId="0" applyNumberFormat="1" applyFont="1" applyBorder="1" applyAlignment="1"/>
    <xf numFmtId="0" fontId="12" fillId="21" borderId="7" xfId="0" quotePrefix="1" applyFont="1" applyFill="1" applyBorder="1" applyAlignment="1"/>
    <xf numFmtId="0" fontId="2" fillId="21" borderId="7" xfId="0" applyFont="1" applyFill="1" applyBorder="1" applyAlignment="1"/>
    <xf numFmtId="0" fontId="2" fillId="21" borderId="8" xfId="0" applyFont="1" applyFill="1" applyBorder="1" applyAlignment="1"/>
    <xf numFmtId="0" fontId="2" fillId="0" borderId="8" xfId="0" applyFont="1" applyBorder="1" applyAlignment="1"/>
    <xf numFmtId="0" fontId="7" fillId="0" borderId="7" xfId="0" quotePrefix="1" applyFont="1" applyBorder="1" applyAlignment="1"/>
    <xf numFmtId="0" fontId="2" fillId="0" borderId="7" xfId="0" applyFont="1" applyBorder="1" applyAlignment="1"/>
    <xf numFmtId="0" fontId="1" fillId="0" borderId="8" xfId="0" applyFont="1" applyBorder="1" applyAlignment="1">
      <alignment horizontal="center" wrapText="1"/>
    </xf>
    <xf numFmtId="189" fontId="1" fillId="2" borderId="8" xfId="0" applyNumberFormat="1" applyFont="1" applyFill="1" applyBorder="1" applyAlignment="1">
      <alignment horizontal="right"/>
    </xf>
    <xf numFmtId="188" fontId="1" fillId="0" borderId="8" xfId="0" applyNumberFormat="1" applyFont="1" applyBorder="1" applyAlignment="1">
      <alignment horizontal="right"/>
    </xf>
    <xf numFmtId="0" fontId="7" fillId="0" borderId="7" xfId="0" applyFont="1" applyBorder="1" applyAlignment="1"/>
    <xf numFmtId="0" fontId="7" fillId="0" borderId="8" xfId="0" applyFont="1" applyBorder="1" applyAlignment="1">
      <alignment horizontal="center"/>
    </xf>
    <xf numFmtId="189" fontId="7" fillId="0" borderId="8" xfId="0" applyNumberFormat="1" applyFont="1" applyBorder="1" applyAlignment="1">
      <alignment horizontal="right"/>
    </xf>
    <xf numFmtId="189" fontId="7" fillId="22" borderId="8" xfId="0" applyNumberFormat="1" applyFont="1" applyFill="1" applyBorder="1" applyAlignment="1">
      <alignment horizontal="right"/>
    </xf>
    <xf numFmtId="188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 wrapText="1"/>
    </xf>
    <xf numFmtId="187" fontId="2" fillId="8" borderId="6" xfId="0" applyNumberFormat="1" applyFont="1" applyFill="1" applyBorder="1" applyAlignment="1"/>
    <xf numFmtId="187" fontId="2" fillId="8" borderId="7" xfId="0" applyNumberFormat="1" applyFont="1" applyFill="1" applyBorder="1" applyAlignment="1"/>
    <xf numFmtId="0" fontId="1" fillId="0" borderId="7" xfId="0" applyFont="1" applyBorder="1" applyAlignment="1"/>
    <xf numFmtId="0" fontId="2" fillId="0" borderId="0" xfId="0" applyFont="1" applyAlignment="1"/>
    <xf numFmtId="189" fontId="7" fillId="2" borderId="8" xfId="0" applyNumberFormat="1" applyFont="1" applyFill="1" applyBorder="1" applyAlignment="1">
      <alignment horizontal="right"/>
    </xf>
    <xf numFmtId="187" fontId="1" fillId="8" borderId="6" xfId="0" applyNumberFormat="1" applyFont="1" applyFill="1" applyBorder="1" applyAlignment="1"/>
    <xf numFmtId="190" fontId="2" fillId="8" borderId="7" xfId="0" applyNumberFormat="1" applyFont="1" applyFill="1" applyBorder="1" applyAlignment="1"/>
    <xf numFmtId="189" fontId="2" fillId="8" borderId="7" xfId="0" applyNumberFormat="1" applyFont="1" applyFill="1" applyBorder="1" applyAlignment="1"/>
    <xf numFmtId="188" fontId="2" fillId="8" borderId="7" xfId="0" applyNumberFormat="1" applyFont="1" applyFill="1" applyBorder="1" applyAlignment="1"/>
    <xf numFmtId="190" fontId="2" fillId="8" borderId="6" xfId="0" applyNumberFormat="1" applyFont="1" applyFill="1" applyBorder="1" applyAlignment="1"/>
    <xf numFmtId="0" fontId="1" fillId="8" borderId="7" xfId="0" applyFont="1" applyFill="1" applyBorder="1" applyAlignment="1"/>
    <xf numFmtId="189" fontId="7" fillId="8" borderId="8" xfId="0" applyNumberFormat="1" applyFont="1" applyFill="1" applyBorder="1" applyAlignment="1">
      <alignment horizontal="right"/>
    </xf>
    <xf numFmtId="188" fontId="7" fillId="8" borderId="8" xfId="0" applyNumberFormat="1" applyFont="1" applyFill="1" applyBorder="1" applyAlignment="1">
      <alignment horizontal="right"/>
    </xf>
    <xf numFmtId="0" fontId="1" fillId="8" borderId="7" xfId="0" applyFont="1" applyFill="1" applyBorder="1" applyAlignment="1"/>
    <xf numFmtId="0" fontId="13" fillId="8" borderId="7" xfId="0" applyFont="1" applyFill="1" applyBorder="1" applyAlignment="1"/>
    <xf numFmtId="187" fontId="1" fillId="8" borderId="8" xfId="0" applyNumberFormat="1" applyFont="1" applyFill="1" applyBorder="1" applyAlignment="1">
      <alignment horizontal="center"/>
    </xf>
    <xf numFmtId="188" fontId="1" fillId="8" borderId="8" xfId="0" applyNumberFormat="1" applyFont="1" applyFill="1" applyBorder="1" applyAlignment="1">
      <alignment horizontal="right"/>
    </xf>
    <xf numFmtId="0" fontId="6" fillId="8" borderId="7" xfId="0" applyFont="1" applyFill="1" applyBorder="1" applyAlignment="1"/>
    <xf numFmtId="187" fontId="6" fillId="8" borderId="8" xfId="0" applyNumberFormat="1" applyFont="1" applyFill="1" applyBorder="1" applyAlignment="1">
      <alignment horizontal="center"/>
    </xf>
    <xf numFmtId="188" fontId="6" fillId="8" borderId="8" xfId="0" applyNumberFormat="1" applyFont="1" applyFill="1" applyBorder="1" applyAlignment="1">
      <alignment horizontal="right"/>
    </xf>
    <xf numFmtId="0" fontId="7" fillId="8" borderId="7" xfId="0" applyFont="1" applyFill="1" applyBorder="1" applyAlignment="1"/>
    <xf numFmtId="187" fontId="7" fillId="8" borderId="8" xfId="0" applyNumberFormat="1" applyFont="1" applyFill="1" applyBorder="1" applyAlignment="1">
      <alignment horizontal="center"/>
    </xf>
    <xf numFmtId="0" fontId="14" fillId="8" borderId="7" xfId="0" applyFont="1" applyFill="1" applyBorder="1" applyAlignment="1"/>
    <xf numFmtId="187" fontId="7" fillId="8" borderId="8" xfId="0" applyNumberFormat="1" applyFont="1" applyFill="1" applyBorder="1" applyAlignment="1">
      <alignment horizontal="center" wrapText="1"/>
    </xf>
    <xf numFmtId="187" fontId="6" fillId="8" borderId="8" xfId="0" applyNumberFormat="1" applyFont="1" applyFill="1" applyBorder="1" applyAlignment="1">
      <alignment horizontal="center" wrapText="1"/>
    </xf>
    <xf numFmtId="190" fontId="2" fillId="20" borderId="7" xfId="0" applyNumberFormat="1" applyFont="1" applyFill="1" applyBorder="1" applyAlignment="1"/>
    <xf numFmtId="189" fontId="2" fillId="20" borderId="7" xfId="0" applyNumberFormat="1" applyFont="1" applyFill="1" applyBorder="1" applyAlignment="1"/>
    <xf numFmtId="188" fontId="2" fillId="20" borderId="7" xfId="0" applyNumberFormat="1" applyFont="1" applyFill="1" applyBorder="1" applyAlignment="1"/>
    <xf numFmtId="190" fontId="2" fillId="10" borderId="7" xfId="0" applyNumberFormat="1" applyFont="1" applyFill="1" applyBorder="1" applyAlignment="1"/>
    <xf numFmtId="189" fontId="2" fillId="10" borderId="7" xfId="0" applyNumberFormat="1" applyFont="1" applyFill="1" applyBorder="1" applyAlignment="1"/>
    <xf numFmtId="190" fontId="1" fillId="10" borderId="7" xfId="0" applyNumberFormat="1" applyFont="1" applyFill="1" applyBorder="1" applyAlignment="1"/>
    <xf numFmtId="187" fontId="2" fillId="0" borderId="8" xfId="0" applyNumberFormat="1" applyFont="1" applyBorder="1" applyAlignment="1"/>
    <xf numFmtId="0" fontId="1" fillId="2" borderId="7" xfId="0" applyFont="1" applyFill="1" applyBorder="1" applyAlignment="1"/>
    <xf numFmtId="187" fontId="1" fillId="10" borderId="8" xfId="0" applyNumberFormat="1" applyFont="1" applyFill="1" applyBorder="1" applyAlignment="1">
      <alignment horizontal="center"/>
    </xf>
    <xf numFmtId="187" fontId="6" fillId="0" borderId="8" xfId="0" applyNumberFormat="1" applyFont="1" applyBorder="1" applyAlignment="1">
      <alignment horizontal="center"/>
    </xf>
    <xf numFmtId="189" fontId="6" fillId="2" borderId="8" xfId="0" applyNumberFormat="1" applyFont="1" applyFill="1" applyBorder="1" applyAlignment="1">
      <alignment horizontal="right"/>
    </xf>
    <xf numFmtId="189" fontId="6" fillId="22" borderId="8" xfId="0" applyNumberFormat="1" applyFont="1" applyFill="1" applyBorder="1" applyAlignment="1">
      <alignment horizontal="right"/>
    </xf>
    <xf numFmtId="190" fontId="2" fillId="2" borderId="5" xfId="0" applyNumberFormat="1" applyFont="1" applyFill="1" applyBorder="1" applyAlignment="1"/>
    <xf numFmtId="0" fontId="6" fillId="2" borderId="1" xfId="0" applyFont="1" applyFill="1" applyBorder="1" applyAlignment="1"/>
    <xf numFmtId="187" fontId="6" fillId="0" borderId="4" xfId="0" applyNumberFormat="1" applyFont="1" applyBorder="1" applyAlignment="1">
      <alignment horizontal="center"/>
    </xf>
    <xf numFmtId="189" fontId="6" fillId="2" borderId="4" xfId="0" applyNumberFormat="1" applyFont="1" applyFill="1" applyBorder="1" applyAlignment="1">
      <alignment horizontal="right"/>
    </xf>
    <xf numFmtId="189" fontId="6" fillId="22" borderId="4" xfId="0" applyNumberFormat="1" applyFont="1" applyFill="1" applyBorder="1" applyAlignment="1">
      <alignment horizontal="right"/>
    </xf>
    <xf numFmtId="188" fontId="6" fillId="2" borderId="4" xfId="0" applyNumberFormat="1" applyFont="1" applyFill="1" applyBorder="1" applyAlignment="1">
      <alignment horizontal="right"/>
    </xf>
    <xf numFmtId="187" fontId="1" fillId="7" borderId="5" xfId="0" applyNumberFormat="1" applyFont="1" applyFill="1" applyBorder="1" applyAlignment="1"/>
    <xf numFmtId="187" fontId="2" fillId="7" borderId="1" xfId="0" applyNumberFormat="1" applyFont="1" applyFill="1" applyBorder="1" applyAlignment="1"/>
    <xf numFmtId="0" fontId="2" fillId="7" borderId="1" xfId="0" applyFont="1" applyFill="1" applyBorder="1" applyAlignment="1"/>
    <xf numFmtId="189" fontId="2" fillId="7" borderId="1" xfId="0" applyNumberFormat="1" applyFont="1" applyFill="1" applyBorder="1" applyAlignment="1"/>
    <xf numFmtId="188" fontId="2" fillId="7" borderId="1" xfId="0" applyNumberFormat="1" applyFont="1" applyFill="1" applyBorder="1" applyAlignment="1"/>
    <xf numFmtId="188" fontId="2" fillId="7" borderId="4" xfId="0" applyNumberFormat="1" applyFont="1" applyFill="1" applyBorder="1" applyAlignment="1"/>
    <xf numFmtId="187" fontId="1" fillId="23" borderId="6" xfId="0" applyNumberFormat="1" applyFont="1" applyFill="1" applyBorder="1" applyAlignment="1"/>
    <xf numFmtId="187" fontId="2" fillId="23" borderId="7" xfId="0" applyNumberFormat="1" applyFont="1" applyFill="1" applyBorder="1" applyAlignment="1"/>
    <xf numFmtId="0" fontId="2" fillId="23" borderId="7" xfId="0" applyFont="1" applyFill="1" applyBorder="1" applyAlignment="1"/>
    <xf numFmtId="0" fontId="2" fillId="23" borderId="8" xfId="0" applyFont="1" applyFill="1" applyBorder="1" applyAlignment="1"/>
    <xf numFmtId="189" fontId="2" fillId="23" borderId="8" xfId="0" applyNumberFormat="1" applyFont="1" applyFill="1" applyBorder="1" applyAlignment="1"/>
    <xf numFmtId="188" fontId="2" fillId="23" borderId="8" xfId="0" applyNumberFormat="1" applyFont="1" applyFill="1" applyBorder="1" applyAlignment="1"/>
    <xf numFmtId="187" fontId="2" fillId="21" borderId="6" xfId="0" applyNumberFormat="1" applyFont="1" applyFill="1" applyBorder="1" applyAlignment="1"/>
    <xf numFmtId="0" fontId="1" fillId="21" borderId="7" xfId="0" applyFont="1" applyFill="1" applyBorder="1" applyAlignment="1"/>
    <xf numFmtId="187" fontId="2" fillId="21" borderId="7" xfId="0" applyNumberFormat="1" applyFont="1" applyFill="1" applyBorder="1" applyAlignment="1"/>
    <xf numFmtId="0" fontId="1" fillId="21" borderId="8" xfId="0" applyFont="1" applyFill="1" applyBorder="1" applyAlignment="1">
      <alignment horizontal="center" wrapText="1"/>
    </xf>
    <xf numFmtId="189" fontId="1" fillId="21" borderId="8" xfId="0" applyNumberFormat="1" applyFont="1" applyFill="1" applyBorder="1" applyAlignment="1">
      <alignment horizontal="right"/>
    </xf>
    <xf numFmtId="188" fontId="1" fillId="21" borderId="8" xfId="0" applyNumberFormat="1" applyFont="1" applyFill="1" applyBorder="1" applyAlignment="1">
      <alignment horizontal="right"/>
    </xf>
    <xf numFmtId="188" fontId="2" fillId="21" borderId="8" xfId="0" applyNumberFormat="1" applyFont="1" applyFill="1" applyBorder="1" applyAlignment="1"/>
    <xf numFmtId="187" fontId="2" fillId="2" borderId="6" xfId="0" applyNumberFormat="1" applyFont="1" applyFill="1" applyBorder="1" applyAlignment="1"/>
    <xf numFmtId="187" fontId="2" fillId="2" borderId="7" xfId="0" applyNumberFormat="1" applyFont="1" applyFill="1" applyBorder="1" applyAlignment="1"/>
    <xf numFmtId="187" fontId="7" fillId="2" borderId="7" xfId="0" applyNumberFormat="1" applyFont="1" applyFill="1" applyBorder="1" applyAlignment="1"/>
    <xf numFmtId="0" fontId="7" fillId="2" borderId="8" xfId="0" applyFont="1" applyFill="1" applyBorder="1" applyAlignment="1">
      <alignment horizontal="center" wrapText="1"/>
    </xf>
    <xf numFmtId="187" fontId="6" fillId="2" borderId="7" xfId="0" applyNumberFormat="1" applyFont="1" applyFill="1" applyBorder="1" applyAlignment="1"/>
    <xf numFmtId="0" fontId="6" fillId="2" borderId="8" xfId="0" applyFont="1" applyFill="1" applyBorder="1" applyAlignment="1">
      <alignment horizontal="center" wrapText="1"/>
    </xf>
    <xf numFmtId="187" fontId="2" fillId="24" borderId="6" xfId="0" applyNumberFormat="1" applyFont="1" applyFill="1" applyBorder="1" applyAlignment="1"/>
    <xf numFmtId="187" fontId="2" fillId="24" borderId="7" xfId="0" applyNumberFormat="1" applyFont="1" applyFill="1" applyBorder="1" applyAlignment="1"/>
    <xf numFmtId="0" fontId="1" fillId="24" borderId="7" xfId="0" applyFont="1" applyFill="1" applyBorder="1" applyAlignment="1"/>
    <xf numFmtId="0" fontId="2" fillId="24" borderId="7" xfId="0" applyFont="1" applyFill="1" applyBorder="1" applyAlignment="1"/>
    <xf numFmtId="0" fontId="2" fillId="24" borderId="8" xfId="0" applyFont="1" applyFill="1" applyBorder="1" applyAlignment="1"/>
    <xf numFmtId="0" fontId="1" fillId="24" borderId="8" xfId="0" applyFont="1" applyFill="1" applyBorder="1" applyAlignment="1">
      <alignment horizontal="center" wrapText="1"/>
    </xf>
    <xf numFmtId="189" fontId="1" fillId="24" borderId="8" xfId="0" applyNumberFormat="1" applyFont="1" applyFill="1" applyBorder="1" applyAlignment="1">
      <alignment horizontal="right"/>
    </xf>
    <xf numFmtId="188" fontId="1" fillId="24" borderId="8" xfId="0" applyNumberFormat="1" applyFont="1" applyFill="1" applyBorder="1" applyAlignment="1">
      <alignment horizontal="right"/>
    </xf>
    <xf numFmtId="188" fontId="2" fillId="24" borderId="8" xfId="0" applyNumberFormat="1" applyFont="1" applyFill="1" applyBorder="1" applyAlignment="1"/>
    <xf numFmtId="0" fontId="15" fillId="2" borderId="7" xfId="0" quotePrefix="1" applyFont="1" applyFill="1" applyBorder="1" applyAlignment="1"/>
    <xf numFmtId="187" fontId="1" fillId="0" borderId="8" xfId="0" applyNumberFormat="1" applyFont="1" applyBorder="1" applyAlignment="1">
      <alignment horizontal="center" wrapText="1"/>
    </xf>
    <xf numFmtId="188" fontId="1" fillId="22" borderId="8" xfId="0" applyNumberFormat="1" applyFont="1" applyFill="1" applyBorder="1" applyAlignment="1">
      <alignment horizontal="right"/>
    </xf>
    <xf numFmtId="0" fontId="1" fillId="24" borderId="8" xfId="0" applyFont="1" applyFill="1" applyBorder="1" applyAlignment="1">
      <alignment horizontal="center"/>
    </xf>
    <xf numFmtId="0" fontId="7" fillId="2" borderId="9" xfId="0" applyFont="1" applyFill="1" applyBorder="1" applyAlignment="1"/>
    <xf numFmtId="188" fontId="7" fillId="22" borderId="8" xfId="0" applyNumberFormat="1" applyFont="1" applyFill="1" applyBorder="1" applyAlignment="1">
      <alignment horizontal="right"/>
    </xf>
    <xf numFmtId="188" fontId="7" fillId="22" borderId="8" xfId="0" applyNumberFormat="1" applyFont="1" applyFill="1" applyBorder="1" applyAlignment="1">
      <alignment horizontal="right"/>
    </xf>
    <xf numFmtId="0" fontId="7" fillId="0" borderId="8" xfId="0" applyFont="1" applyBorder="1" applyAlignment="1"/>
    <xf numFmtId="0" fontId="7" fillId="0" borderId="8" xfId="0" applyFont="1" applyBorder="1" applyAlignment="1">
      <alignment horizontal="center"/>
    </xf>
    <xf numFmtId="187" fontId="1" fillId="2" borderId="7" xfId="0" applyNumberFormat="1" applyFont="1" applyFill="1" applyBorder="1" applyAlignment="1"/>
    <xf numFmtId="187" fontId="16" fillId="24" borderId="6" xfId="0" applyNumberFormat="1" applyFont="1" applyFill="1" applyBorder="1" applyAlignment="1"/>
    <xf numFmtId="187" fontId="16" fillId="24" borderId="7" xfId="0" applyNumberFormat="1" applyFont="1" applyFill="1" applyBorder="1" applyAlignment="1"/>
    <xf numFmtId="0" fontId="17" fillId="24" borderId="7" xfId="0" applyFont="1" applyFill="1" applyBorder="1" applyAlignment="1"/>
    <xf numFmtId="0" fontId="16" fillId="24" borderId="7" xfId="0" applyFont="1" applyFill="1" applyBorder="1" applyAlignment="1"/>
    <xf numFmtId="0" fontId="16" fillId="24" borderId="8" xfId="0" applyFont="1" applyFill="1" applyBorder="1" applyAlignment="1"/>
    <xf numFmtId="0" fontId="17" fillId="24" borderId="8" xfId="0" applyFont="1" applyFill="1" applyBorder="1" applyAlignment="1">
      <alignment horizontal="center" wrapText="1"/>
    </xf>
    <xf numFmtId="189" fontId="17" fillId="24" borderId="8" xfId="0" applyNumberFormat="1" applyFont="1" applyFill="1" applyBorder="1" applyAlignment="1">
      <alignment horizontal="right"/>
    </xf>
    <xf numFmtId="188" fontId="17" fillId="24" borderId="8" xfId="0" applyNumberFormat="1" applyFont="1" applyFill="1" applyBorder="1" applyAlignment="1">
      <alignment horizontal="right"/>
    </xf>
    <xf numFmtId="188" fontId="16" fillId="24" borderId="8" xfId="0" applyNumberFormat="1" applyFont="1" applyFill="1" applyBorder="1" applyAlignment="1"/>
    <xf numFmtId="190" fontId="16" fillId="2" borderId="6" xfId="0" applyNumberFormat="1" applyFont="1" applyFill="1" applyBorder="1" applyAlignment="1"/>
    <xf numFmtId="0" fontId="16" fillId="2" borderId="7" xfId="0" applyFont="1" applyFill="1" applyBorder="1" applyAlignment="1"/>
    <xf numFmtId="0" fontId="17" fillId="2" borderId="7" xfId="0" applyFont="1" applyFill="1" applyBorder="1" applyAlignment="1"/>
    <xf numFmtId="0" fontId="18" fillId="2" borderId="7" xfId="0" applyFont="1" applyFill="1" applyBorder="1" applyAlignment="1"/>
    <xf numFmtId="0" fontId="16" fillId="2" borderId="8" xfId="0" applyFont="1" applyFill="1" applyBorder="1" applyAlignment="1"/>
    <xf numFmtId="187" fontId="17" fillId="0" borderId="8" xfId="0" applyNumberFormat="1" applyFont="1" applyBorder="1" applyAlignment="1">
      <alignment horizontal="center" wrapText="1"/>
    </xf>
    <xf numFmtId="189" fontId="16" fillId="0" borderId="8" xfId="0" applyNumberFormat="1" applyFont="1" applyBorder="1" applyAlignment="1"/>
    <xf numFmtId="188" fontId="16" fillId="0" borderId="8" xfId="0" applyNumberFormat="1" applyFont="1" applyBorder="1" applyAlignment="1"/>
    <xf numFmtId="188" fontId="17" fillId="2" borderId="8" xfId="0" applyNumberFormat="1" applyFont="1" applyFill="1" applyBorder="1" applyAlignment="1">
      <alignment horizontal="right"/>
    </xf>
    <xf numFmtId="188" fontId="16" fillId="2" borderId="8" xfId="0" applyNumberFormat="1" applyFont="1" applyFill="1" applyBorder="1" applyAlignment="1"/>
    <xf numFmtId="187" fontId="16" fillId="2" borderId="7" xfId="0" applyNumberFormat="1" applyFont="1" applyFill="1" applyBorder="1" applyAlignment="1"/>
    <xf numFmtId="187" fontId="16" fillId="2" borderId="6" xfId="0" applyNumberFormat="1" applyFont="1" applyFill="1" applyBorder="1" applyAlignment="1"/>
    <xf numFmtId="189" fontId="16" fillId="2" borderId="8" xfId="0" applyNumberFormat="1" applyFont="1" applyFill="1" applyBorder="1" applyAlignment="1"/>
    <xf numFmtId="187" fontId="16" fillId="0" borderId="6" xfId="0" applyNumberFormat="1" applyFont="1" applyBorder="1" applyAlignment="1"/>
    <xf numFmtId="187" fontId="16" fillId="0" borderId="7" xfId="0" applyNumberFormat="1" applyFont="1" applyBorder="1" applyAlignment="1"/>
    <xf numFmtId="187" fontId="17" fillId="2" borderId="7" xfId="0" applyNumberFormat="1" applyFont="1" applyFill="1" applyBorder="1" applyAlignment="1"/>
    <xf numFmtId="0" fontId="19" fillId="21" borderId="7" xfId="0" quotePrefix="1" applyFont="1" applyFill="1" applyBorder="1" applyAlignment="1"/>
    <xf numFmtId="0" fontId="16" fillId="21" borderId="7" xfId="0" applyFont="1" applyFill="1" applyBorder="1" applyAlignment="1"/>
    <xf numFmtId="0" fontId="16" fillId="21" borderId="8" xfId="0" applyFont="1" applyFill="1" applyBorder="1" applyAlignment="1"/>
    <xf numFmtId="0" fontId="16" fillId="0" borderId="8" xfId="0" applyFont="1" applyBorder="1" applyAlignment="1"/>
    <xf numFmtId="0" fontId="6" fillId="0" borderId="7" xfId="0" applyFont="1" applyBorder="1" applyAlignment="1"/>
    <xf numFmtId="0" fontId="16" fillId="0" borderId="7" xfId="0" applyFont="1" applyBorder="1" applyAlignment="1"/>
    <xf numFmtId="0" fontId="6" fillId="0" borderId="8" xfId="0" applyFont="1" applyBorder="1" applyAlignment="1">
      <alignment horizontal="center"/>
    </xf>
    <xf numFmtId="187" fontId="6" fillId="0" borderId="7" xfId="0" quotePrefix="1" applyNumberFormat="1" applyFont="1" applyBorder="1" applyAlignment="1"/>
    <xf numFmtId="0" fontId="6" fillId="0" borderId="7" xfId="0" quotePrefix="1" applyFont="1" applyBorder="1" applyAlignment="1"/>
    <xf numFmtId="188" fontId="6" fillId="22" borderId="8" xfId="0" applyNumberFormat="1" applyFont="1" applyFill="1" applyBorder="1" applyAlignment="1">
      <alignment horizontal="right"/>
    </xf>
    <xf numFmtId="0" fontId="20" fillId="2" borderId="7" xfId="0" quotePrefix="1" applyFont="1" applyFill="1" applyBorder="1" applyAlignment="1"/>
    <xf numFmtId="187" fontId="17" fillId="23" borderId="6" xfId="0" applyNumberFormat="1" applyFont="1" applyFill="1" applyBorder="1" applyAlignment="1"/>
    <xf numFmtId="0" fontId="17" fillId="21" borderId="7" xfId="0" applyFont="1" applyFill="1" applyBorder="1" applyAlignment="1"/>
    <xf numFmtId="0" fontId="17" fillId="21" borderId="8" xfId="0" applyFont="1" applyFill="1" applyBorder="1" applyAlignment="1">
      <alignment horizontal="center" wrapText="1"/>
    </xf>
    <xf numFmtId="189" fontId="2" fillId="21" borderId="8" xfId="0" applyNumberFormat="1" applyFont="1" applyFill="1" applyBorder="1" applyAlignment="1"/>
    <xf numFmtId="188" fontId="17" fillId="21" borderId="8" xfId="0" applyNumberFormat="1" applyFont="1" applyFill="1" applyBorder="1" applyAlignment="1">
      <alignment horizontal="right"/>
    </xf>
    <xf numFmtId="187" fontId="17" fillId="2" borderId="8" xfId="0" applyNumberFormat="1" applyFont="1" applyFill="1" applyBorder="1" applyAlignment="1">
      <alignment horizontal="center"/>
    </xf>
    <xf numFmtId="0" fontId="21" fillId="2" borderId="7" xfId="0" applyFont="1" applyFill="1" applyBorder="1" applyAlignment="1"/>
    <xf numFmtId="0" fontId="6" fillId="2" borderId="7" xfId="0" applyFont="1" applyFill="1" applyBorder="1" applyAlignment="1"/>
    <xf numFmtId="187" fontId="2" fillId="0" borderId="5" xfId="0" applyNumberFormat="1" applyFont="1" applyBorder="1" applyAlignment="1"/>
    <xf numFmtId="187" fontId="2" fillId="0" borderId="1" xfId="0" applyNumberFormat="1" applyFont="1" applyBorder="1" applyAlignment="1"/>
    <xf numFmtId="0" fontId="6" fillId="0" borderId="1" xfId="0" quotePrefix="1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/>
    <xf numFmtId="0" fontId="6" fillId="2" borderId="4" xfId="0" applyFont="1" applyFill="1" applyBorder="1" applyAlignment="1">
      <alignment horizontal="center"/>
    </xf>
    <xf numFmtId="188" fontId="6" fillId="0" borderId="4" xfId="0" applyNumberFormat="1" applyFont="1" applyBorder="1" applyAlignment="1">
      <alignment horizontal="right"/>
    </xf>
    <xf numFmtId="188" fontId="2" fillId="0" borderId="4" xfId="0" applyNumberFormat="1" applyFont="1" applyBorder="1" applyAlignment="1"/>
    <xf numFmtId="187" fontId="22" fillId="25" borderId="5" xfId="0" applyNumberFormat="1" applyFont="1" applyFill="1" applyBorder="1" applyAlignment="1"/>
    <xf numFmtId="187" fontId="2" fillId="25" borderId="1" xfId="0" applyNumberFormat="1" applyFont="1" applyFill="1" applyBorder="1" applyAlignment="1"/>
    <xf numFmtId="0" fontId="2" fillId="25" borderId="1" xfId="0" applyFont="1" applyFill="1" applyBorder="1" applyAlignment="1"/>
    <xf numFmtId="189" fontId="2" fillId="25" borderId="1" xfId="0" applyNumberFormat="1" applyFont="1" applyFill="1" applyBorder="1" applyAlignment="1"/>
    <xf numFmtId="188" fontId="2" fillId="25" borderId="1" xfId="0" applyNumberFormat="1" applyFont="1" applyFill="1" applyBorder="1" applyAlignment="1"/>
    <xf numFmtId="188" fontId="2" fillId="25" borderId="4" xfId="0" applyNumberFormat="1" applyFont="1" applyFill="1" applyBorder="1" applyAlignment="1"/>
    <xf numFmtId="187" fontId="1" fillId="26" borderId="6" xfId="0" applyNumberFormat="1" applyFont="1" applyFill="1" applyBorder="1" applyAlignment="1"/>
    <xf numFmtId="0" fontId="2" fillId="26" borderId="7" xfId="0" applyFont="1" applyFill="1" applyBorder="1" applyAlignment="1"/>
    <xf numFmtId="187" fontId="2" fillId="26" borderId="7" xfId="0" applyNumberFormat="1" applyFont="1" applyFill="1" applyBorder="1" applyAlignment="1"/>
    <xf numFmtId="189" fontId="2" fillId="26" borderId="7" xfId="0" applyNumberFormat="1" applyFont="1" applyFill="1" applyBorder="1" applyAlignment="1"/>
    <xf numFmtId="189" fontId="2" fillId="26" borderId="8" xfId="0" applyNumberFormat="1" applyFont="1" applyFill="1" applyBorder="1" applyAlignment="1"/>
    <xf numFmtId="188" fontId="2" fillId="26" borderId="8" xfId="0" applyNumberFormat="1" applyFont="1" applyFill="1" applyBorder="1" applyAlignment="1"/>
    <xf numFmtId="190" fontId="2" fillId="27" borderId="6" xfId="0" applyNumberFormat="1" applyFont="1" applyFill="1" applyBorder="1" applyAlignment="1"/>
    <xf numFmtId="0" fontId="1" fillId="27" borderId="7" xfId="0" applyFont="1" applyFill="1" applyBorder="1" applyAlignment="1"/>
    <xf numFmtId="0" fontId="2" fillId="27" borderId="7" xfId="0" applyFont="1" applyFill="1" applyBorder="1" applyAlignment="1"/>
    <xf numFmtId="187" fontId="2" fillId="27" borderId="7" xfId="0" applyNumberFormat="1" applyFont="1" applyFill="1" applyBorder="1" applyAlignment="1"/>
    <xf numFmtId="0" fontId="2" fillId="27" borderId="8" xfId="0" applyFont="1" applyFill="1" applyBorder="1" applyAlignment="1"/>
    <xf numFmtId="0" fontId="1" fillId="27" borderId="8" xfId="0" applyFont="1" applyFill="1" applyBorder="1" applyAlignment="1">
      <alignment horizontal="center" wrapText="1"/>
    </xf>
    <xf numFmtId="189" fontId="1" fillId="27" borderId="8" xfId="0" applyNumberFormat="1" applyFont="1" applyFill="1" applyBorder="1" applyAlignment="1">
      <alignment horizontal="right"/>
    </xf>
    <xf numFmtId="188" fontId="1" fillId="27" borderId="8" xfId="0" applyNumberFormat="1" applyFont="1" applyFill="1" applyBorder="1" applyAlignment="1">
      <alignment horizontal="right"/>
    </xf>
    <xf numFmtId="188" fontId="2" fillId="27" borderId="8" xfId="0" applyNumberFormat="1" applyFont="1" applyFill="1" applyBorder="1" applyAlignment="1"/>
    <xf numFmtId="187" fontId="2" fillId="8" borderId="5" xfId="0" applyNumberFormat="1" applyFont="1" applyFill="1" applyBorder="1" applyAlignment="1"/>
    <xf numFmtId="187" fontId="2" fillId="8" borderId="1" xfId="0" applyNumberFormat="1" applyFont="1" applyFill="1" applyBorder="1" applyAlignment="1"/>
    <xf numFmtId="187" fontId="1" fillId="28" borderId="5" xfId="0" applyNumberFormat="1" applyFont="1" applyFill="1" applyBorder="1" applyAlignment="1"/>
    <xf numFmtId="187" fontId="2" fillId="28" borderId="1" xfId="0" applyNumberFormat="1" applyFont="1" applyFill="1" applyBorder="1" applyAlignment="1"/>
    <xf numFmtId="0" fontId="2" fillId="28" borderId="1" xfId="0" applyFont="1" applyFill="1" applyBorder="1" applyAlignment="1"/>
    <xf numFmtId="189" fontId="2" fillId="28" borderId="1" xfId="0" applyNumberFormat="1" applyFont="1" applyFill="1" applyBorder="1" applyAlignment="1"/>
    <xf numFmtId="188" fontId="2" fillId="28" borderId="1" xfId="0" applyNumberFormat="1" applyFont="1" applyFill="1" applyBorder="1" applyAlignment="1"/>
    <xf numFmtId="188" fontId="2" fillId="28" borderId="4" xfId="0" applyNumberFormat="1" applyFont="1" applyFill="1" applyBorder="1" applyAlignment="1"/>
    <xf numFmtId="187" fontId="1" fillId="29" borderId="6" xfId="0" applyNumberFormat="1" applyFont="1" applyFill="1" applyBorder="1" applyAlignment="1"/>
    <xf numFmtId="187" fontId="2" fillId="29" borderId="7" xfId="0" applyNumberFormat="1" applyFont="1" applyFill="1" applyBorder="1" applyAlignment="1"/>
    <xf numFmtId="0" fontId="2" fillId="29" borderId="7" xfId="0" applyFont="1" applyFill="1" applyBorder="1" applyAlignment="1"/>
    <xf numFmtId="0" fontId="2" fillId="29" borderId="8" xfId="0" applyFont="1" applyFill="1" applyBorder="1" applyAlignment="1"/>
    <xf numFmtId="189" fontId="2" fillId="29" borderId="8" xfId="0" applyNumberFormat="1" applyFont="1" applyFill="1" applyBorder="1" applyAlignment="1"/>
    <xf numFmtId="188" fontId="2" fillId="29" borderId="8" xfId="0" applyNumberFormat="1" applyFont="1" applyFill="1" applyBorder="1" applyAlignment="1"/>
    <xf numFmtId="187" fontId="2" fillId="30" borderId="6" xfId="0" applyNumberFormat="1" applyFont="1" applyFill="1" applyBorder="1" applyAlignment="1"/>
    <xf numFmtId="0" fontId="1" fillId="30" borderId="7" xfId="0" applyFont="1" applyFill="1" applyBorder="1" applyAlignment="1"/>
    <xf numFmtId="0" fontId="2" fillId="30" borderId="7" xfId="0" applyFont="1" applyFill="1" applyBorder="1" applyAlignment="1"/>
    <xf numFmtId="0" fontId="2" fillId="30" borderId="8" xfId="0" applyFont="1" applyFill="1" applyBorder="1" applyAlignment="1"/>
    <xf numFmtId="0" fontId="1" fillId="30" borderId="8" xfId="0" applyFont="1" applyFill="1" applyBorder="1" applyAlignment="1">
      <alignment horizontal="center" wrapText="1"/>
    </xf>
    <xf numFmtId="189" fontId="1" fillId="30" borderId="8" xfId="0" applyNumberFormat="1" applyFont="1" applyFill="1" applyBorder="1" applyAlignment="1">
      <alignment horizontal="right"/>
    </xf>
    <xf numFmtId="188" fontId="1" fillId="30" borderId="8" xfId="0" applyNumberFormat="1" applyFont="1" applyFill="1" applyBorder="1" applyAlignment="1">
      <alignment horizontal="right"/>
    </xf>
    <xf numFmtId="188" fontId="2" fillId="30" borderId="8" xfId="0" applyNumberFormat="1" applyFont="1" applyFill="1" applyBorder="1" applyAlignment="1"/>
    <xf numFmtId="190" fontId="2" fillId="30" borderId="6" xfId="0" applyNumberFormat="1" applyFont="1" applyFill="1" applyBorder="1" applyAlignment="1"/>
    <xf numFmtId="190" fontId="2" fillId="30" borderId="7" xfId="0" applyNumberFormat="1" applyFont="1" applyFill="1" applyBorder="1" applyAlignment="1"/>
    <xf numFmtId="187" fontId="2" fillId="30" borderId="7" xfId="0" applyNumberFormat="1" applyFont="1" applyFill="1" applyBorder="1" applyAlignment="1"/>
    <xf numFmtId="189" fontId="1" fillId="30" borderId="10" xfId="0" applyNumberFormat="1" applyFont="1" applyFill="1" applyBorder="1" applyAlignment="1">
      <alignment horizontal="right"/>
    </xf>
    <xf numFmtId="189" fontId="1" fillId="30" borderId="11" xfId="0" applyNumberFormat="1" applyFont="1" applyFill="1" applyBorder="1" applyAlignment="1">
      <alignment horizontal="right"/>
    </xf>
    <xf numFmtId="188" fontId="1" fillId="30" borderId="11" xfId="0" applyNumberFormat="1" applyFont="1" applyFill="1" applyBorder="1" applyAlignment="1">
      <alignment horizontal="right"/>
    </xf>
    <xf numFmtId="187" fontId="2" fillId="24" borderId="12" xfId="0" applyNumberFormat="1" applyFont="1" applyFill="1" applyBorder="1" applyAlignment="1"/>
    <xf numFmtId="0" fontId="2" fillId="24" borderId="9" xfId="0" applyFont="1" applyFill="1" applyBorder="1" applyAlignment="1"/>
    <xf numFmtId="187" fontId="2" fillId="24" borderId="9" xfId="0" applyNumberFormat="1" applyFont="1" applyFill="1" applyBorder="1" applyAlignment="1"/>
    <xf numFmtId="187" fontId="23" fillId="24" borderId="9" xfId="0" applyNumberFormat="1" applyFont="1" applyFill="1" applyBorder="1" applyAlignment="1"/>
    <xf numFmtId="0" fontId="2" fillId="24" borderId="11" xfId="0" applyFont="1" applyFill="1" applyBorder="1" applyAlignment="1"/>
    <xf numFmtId="0" fontId="1" fillId="24" borderId="11" xfId="0" applyFont="1" applyFill="1" applyBorder="1" applyAlignment="1">
      <alignment horizontal="center" wrapText="1"/>
    </xf>
    <xf numFmtId="189" fontId="1" fillId="24" borderId="11" xfId="0" applyNumberFormat="1" applyFont="1" applyFill="1" applyBorder="1" applyAlignment="1">
      <alignment horizontal="right"/>
    </xf>
    <xf numFmtId="188" fontId="1" fillId="24" borderId="11" xfId="0" applyNumberFormat="1" applyFont="1" applyFill="1" applyBorder="1" applyAlignment="1">
      <alignment horizontal="right"/>
    </xf>
    <xf numFmtId="188" fontId="2" fillId="24" borderId="11" xfId="0" applyNumberFormat="1" applyFont="1" applyFill="1" applyBorder="1" applyAlignment="1"/>
    <xf numFmtId="187" fontId="2" fillId="2" borderId="8" xfId="0" applyNumberFormat="1" applyFont="1" applyFill="1" applyBorder="1" applyAlignment="1"/>
    <xf numFmtId="187" fontId="7" fillId="2" borderId="8" xfId="0" applyNumberFormat="1" applyFont="1" applyFill="1" applyBorder="1" applyAlignment="1">
      <alignment horizontal="center" wrapText="1"/>
    </xf>
    <xf numFmtId="187" fontId="24" fillId="2" borderId="7" xfId="0" applyNumberFormat="1" applyFont="1" applyFill="1" applyBorder="1" applyAlignment="1"/>
    <xf numFmtId="0" fontId="25" fillId="24" borderId="7" xfId="0" applyFont="1" applyFill="1" applyBorder="1" applyAlignment="1"/>
    <xf numFmtId="189" fontId="2" fillId="30" borderId="8" xfId="0" applyNumberFormat="1" applyFont="1" applyFill="1" applyBorder="1" applyAlignment="1"/>
    <xf numFmtId="191" fontId="7" fillId="2" borderId="8" xfId="0" applyNumberFormat="1" applyFont="1" applyFill="1" applyBorder="1" applyAlignment="1">
      <alignment horizontal="right"/>
    </xf>
    <xf numFmtId="187" fontId="24" fillId="2" borderId="1" xfId="0" applyNumberFormat="1" applyFont="1" applyFill="1" applyBorder="1" applyAlignment="1"/>
    <xf numFmtId="187" fontId="26" fillId="31" borderId="5" xfId="0" applyNumberFormat="1" applyFont="1" applyFill="1" applyBorder="1" applyAlignment="1"/>
    <xf numFmtId="187" fontId="27" fillId="31" borderId="1" xfId="0" applyNumberFormat="1" applyFont="1" applyFill="1" applyBorder="1" applyAlignment="1"/>
    <xf numFmtId="0" fontId="27" fillId="31" borderId="1" xfId="0" applyFont="1" applyFill="1" applyBorder="1" applyAlignment="1"/>
    <xf numFmtId="189" fontId="27" fillId="31" borderId="1" xfId="0" applyNumberFormat="1" applyFont="1" applyFill="1" applyBorder="1" applyAlignment="1"/>
    <xf numFmtId="188" fontId="27" fillId="31" borderId="1" xfId="0" applyNumberFormat="1" applyFont="1" applyFill="1" applyBorder="1" applyAlignment="1"/>
    <xf numFmtId="188" fontId="27" fillId="31" borderId="4" xfId="0" applyNumberFormat="1" applyFont="1" applyFill="1" applyBorder="1" applyAlignment="1"/>
    <xf numFmtId="187" fontId="26" fillId="32" borderId="6" xfId="0" applyNumberFormat="1" applyFont="1" applyFill="1" applyBorder="1" applyAlignment="1"/>
    <xf numFmtId="187" fontId="27" fillId="32" borderId="7" xfId="0" applyNumberFormat="1" applyFont="1" applyFill="1" applyBorder="1" applyAlignment="1"/>
    <xf numFmtId="0" fontId="27" fillId="32" borderId="7" xfId="0" applyFont="1" applyFill="1" applyBorder="1" applyAlignment="1"/>
    <xf numFmtId="0" fontId="27" fillId="32" borderId="8" xfId="0" applyFont="1" applyFill="1" applyBorder="1" applyAlignment="1"/>
    <xf numFmtId="189" fontId="27" fillId="32" borderId="8" xfId="0" applyNumberFormat="1" applyFont="1" applyFill="1" applyBorder="1" applyAlignment="1"/>
    <xf numFmtId="188" fontId="27" fillId="32" borderId="8" xfId="0" applyNumberFormat="1" applyFont="1" applyFill="1" applyBorder="1" applyAlignment="1"/>
    <xf numFmtId="187" fontId="27" fillId="33" borderId="6" xfId="0" applyNumberFormat="1" applyFont="1" applyFill="1" applyBorder="1" applyAlignment="1"/>
    <xf numFmtId="0" fontId="26" fillId="33" borderId="7" xfId="0" applyFont="1" applyFill="1" applyBorder="1" applyAlignment="1"/>
    <xf numFmtId="187" fontId="27" fillId="33" borderId="7" xfId="0" applyNumberFormat="1" applyFont="1" applyFill="1" applyBorder="1" applyAlignment="1"/>
    <xf numFmtId="0" fontId="27" fillId="33" borderId="7" xfId="0" applyFont="1" applyFill="1" applyBorder="1" applyAlignment="1"/>
    <xf numFmtId="0" fontId="27" fillId="33" borderId="8" xfId="0" applyFont="1" applyFill="1" applyBorder="1" applyAlignment="1"/>
    <xf numFmtId="0" fontId="26" fillId="33" borderId="8" xfId="0" applyFont="1" applyFill="1" applyBorder="1" applyAlignment="1">
      <alignment horizontal="center" wrapText="1"/>
    </xf>
    <xf numFmtId="189" fontId="26" fillId="33" borderId="8" xfId="0" applyNumberFormat="1" applyFont="1" applyFill="1" applyBorder="1" applyAlignment="1">
      <alignment horizontal="right"/>
    </xf>
    <xf numFmtId="188" fontId="26" fillId="33" borderId="8" xfId="0" applyNumberFormat="1" applyFont="1" applyFill="1" applyBorder="1" applyAlignment="1">
      <alignment horizontal="right"/>
    </xf>
    <xf numFmtId="188" fontId="27" fillId="33" borderId="8" xfId="0" applyNumberFormat="1" applyFont="1" applyFill="1" applyBorder="1" applyAlignment="1"/>
    <xf numFmtId="190" fontId="27" fillId="2" borderId="6" xfId="0" applyNumberFormat="1" applyFont="1" applyFill="1" applyBorder="1" applyAlignment="1"/>
    <xf numFmtId="0" fontId="27" fillId="2" borderId="7" xfId="0" applyFont="1" applyFill="1" applyBorder="1" applyAlignment="1"/>
    <xf numFmtId="0" fontId="26" fillId="2" borderId="7" xfId="0" applyFont="1" applyFill="1" applyBorder="1" applyAlignment="1"/>
    <xf numFmtId="0" fontId="28" fillId="2" borderId="7" xfId="0" applyFont="1" applyFill="1" applyBorder="1" applyAlignment="1"/>
    <xf numFmtId="0" fontId="27" fillId="2" borderId="8" xfId="0" applyFont="1" applyFill="1" applyBorder="1" applyAlignment="1"/>
    <xf numFmtId="187" fontId="26" fillId="2" borderId="8" xfId="0" applyNumberFormat="1" applyFont="1" applyFill="1" applyBorder="1" applyAlignment="1">
      <alignment horizontal="center"/>
    </xf>
    <xf numFmtId="189" fontId="27" fillId="2" borderId="8" xfId="0" applyNumberFormat="1" applyFont="1" applyFill="1" applyBorder="1" applyAlignment="1"/>
    <xf numFmtId="188" fontId="27" fillId="2" borderId="8" xfId="0" applyNumberFormat="1" applyFont="1" applyFill="1" applyBorder="1" applyAlignment="1"/>
    <xf numFmtId="188" fontId="26" fillId="2" borderId="8" xfId="0" applyNumberFormat="1" applyFont="1" applyFill="1" applyBorder="1" applyAlignment="1">
      <alignment horizontal="right"/>
    </xf>
    <xf numFmtId="0" fontId="29" fillId="2" borderId="7" xfId="0" applyFont="1" applyFill="1" applyBorder="1" applyAlignment="1"/>
    <xf numFmtId="187" fontId="29" fillId="2" borderId="8" xfId="0" applyNumberFormat="1" applyFont="1" applyFill="1" applyBorder="1" applyAlignment="1">
      <alignment horizontal="center"/>
    </xf>
    <xf numFmtId="188" fontId="29" fillId="2" borderId="8" xfId="0" applyNumberFormat="1" applyFont="1" applyFill="1" applyBorder="1" applyAlignment="1">
      <alignment horizontal="right"/>
    </xf>
    <xf numFmtId="0" fontId="30" fillId="2" borderId="7" xfId="0" applyFont="1" applyFill="1" applyBorder="1" applyAlignment="1"/>
    <xf numFmtId="187" fontId="29" fillId="0" borderId="8" xfId="0" applyNumberFormat="1" applyFont="1" applyBorder="1" applyAlignment="1">
      <alignment horizontal="center" wrapText="1"/>
    </xf>
    <xf numFmtId="189" fontId="27" fillId="0" borderId="8" xfId="0" applyNumberFormat="1" applyFont="1" applyBorder="1" applyAlignment="1"/>
    <xf numFmtId="188" fontId="27" fillId="0" borderId="8" xfId="0" applyNumberFormat="1" applyFont="1" applyBorder="1" applyAlignment="1"/>
    <xf numFmtId="187" fontId="29" fillId="0" borderId="8" xfId="0" applyNumberFormat="1" applyFont="1" applyBorder="1" applyAlignment="1">
      <alignment horizontal="center"/>
    </xf>
    <xf numFmtId="187" fontId="27" fillId="0" borderId="6" xfId="0" applyNumberFormat="1" applyFont="1" applyBorder="1" applyAlignment="1"/>
    <xf numFmtId="187" fontId="27" fillId="0" borderId="7" xfId="0" applyNumberFormat="1" applyFont="1" applyBorder="1" applyAlignment="1"/>
    <xf numFmtId="0" fontId="31" fillId="21" borderId="7" xfId="0" quotePrefix="1" applyFont="1" applyFill="1" applyBorder="1" applyAlignment="1"/>
    <xf numFmtId="0" fontId="27" fillId="21" borderId="7" xfId="0" applyFont="1" applyFill="1" applyBorder="1" applyAlignment="1"/>
    <xf numFmtId="0" fontId="27" fillId="21" borderId="8" xfId="0" applyFont="1" applyFill="1" applyBorder="1" applyAlignment="1"/>
    <xf numFmtId="0" fontId="27" fillId="0" borderId="8" xfId="0" applyFont="1" applyBorder="1" applyAlignment="1"/>
    <xf numFmtId="187" fontId="27" fillId="2" borderId="6" xfId="0" applyNumberFormat="1" applyFont="1" applyFill="1" applyBorder="1" applyAlignment="1"/>
    <xf numFmtId="187" fontId="27" fillId="2" borderId="7" xfId="0" applyNumberFormat="1" applyFont="1" applyFill="1" applyBorder="1" applyAlignment="1"/>
    <xf numFmtId="0" fontId="29" fillId="0" borderId="7" xfId="0" applyFont="1" applyBorder="1" applyAlignment="1"/>
    <xf numFmtId="0" fontId="29" fillId="2" borderId="8" xfId="0" applyFont="1" applyFill="1" applyBorder="1" applyAlignment="1">
      <alignment horizontal="center" wrapText="1"/>
    </xf>
    <xf numFmtId="189" fontId="29" fillId="2" borderId="8" xfId="0" applyNumberFormat="1" applyFont="1" applyFill="1" applyBorder="1" applyAlignment="1">
      <alignment horizontal="right"/>
    </xf>
    <xf numFmtId="189" fontId="29" fillId="22" borderId="8" xfId="0" applyNumberFormat="1" applyFont="1" applyFill="1" applyBorder="1" applyAlignment="1">
      <alignment horizontal="right"/>
    </xf>
    <xf numFmtId="187" fontId="27" fillId="2" borderId="5" xfId="0" applyNumberFormat="1" applyFont="1" applyFill="1" applyBorder="1" applyAlignment="1"/>
    <xf numFmtId="0" fontId="27" fillId="2" borderId="1" xfId="0" applyFont="1" applyFill="1" applyBorder="1" applyAlignment="1"/>
    <xf numFmtId="187" fontId="27" fillId="2" borderId="1" xfId="0" applyNumberFormat="1" applyFont="1" applyFill="1" applyBorder="1" applyAlignment="1"/>
    <xf numFmtId="0" fontId="29" fillId="0" borderId="1" xfId="0" applyFont="1" applyBorder="1" applyAlignment="1"/>
    <xf numFmtId="187" fontId="27" fillId="0" borderId="1" xfId="0" applyNumberFormat="1" applyFont="1" applyBorder="1" applyAlignment="1"/>
    <xf numFmtId="0" fontId="27" fillId="2" borderId="4" xfId="0" applyFont="1" applyFill="1" applyBorder="1" applyAlignment="1"/>
    <xf numFmtId="0" fontId="29" fillId="2" borderId="4" xfId="0" applyFont="1" applyFill="1" applyBorder="1" applyAlignment="1">
      <alignment horizontal="center" wrapText="1"/>
    </xf>
    <xf numFmtId="189" fontId="29" fillId="2" borderId="4" xfId="0" applyNumberFormat="1" applyFont="1" applyFill="1" applyBorder="1" applyAlignment="1">
      <alignment horizontal="right"/>
    </xf>
    <xf numFmtId="189" fontId="29" fillId="22" borderId="4" xfId="0" applyNumberFormat="1" applyFont="1" applyFill="1" applyBorder="1" applyAlignment="1">
      <alignment horizontal="right"/>
    </xf>
    <xf numFmtId="188" fontId="29" fillId="2" borderId="4" xfId="0" applyNumberFormat="1" applyFont="1" applyFill="1" applyBorder="1" applyAlignment="1">
      <alignment horizontal="right"/>
    </xf>
    <xf numFmtId="188" fontId="27" fillId="2" borderId="4" xfId="0" applyNumberFormat="1" applyFont="1" applyFill="1" applyBorder="1" applyAlignment="1"/>
    <xf numFmtId="0" fontId="24" fillId="0" borderId="0" xfId="0" applyFont="1" applyAlignment="1"/>
    <xf numFmtId="0" fontId="4" fillId="0" borderId="1" xfId="0" applyFont="1" applyBorder="1"/>
    <xf numFmtId="0" fontId="3" fillId="0" borderId="1" xfId="0" applyFont="1" applyBorder="1"/>
    <xf numFmtId="0" fontId="3" fillId="0" borderId="4" xfId="0" applyFont="1" applyBorder="1"/>
    <xf numFmtId="0" fontId="1" fillId="9" borderId="5" xfId="0" applyFont="1" applyFill="1" applyBorder="1" applyAlignment="1"/>
    <xf numFmtId="0" fontId="1" fillId="15" borderId="5" xfId="0" applyFont="1" applyFill="1" applyBorder="1" applyAlignment="1"/>
    <xf numFmtId="0" fontId="1" fillId="16" borderId="7" xfId="0" applyFont="1" applyFill="1" applyBorder="1" applyAlignment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1" fillId="4" borderId="1" xfId="0" applyFont="1" applyFill="1" applyBorder="1" applyAlignment="1">
      <alignment horizontal="center"/>
    </xf>
    <xf numFmtId="188" fontId="1" fillId="5" borderId="1" xfId="0" applyNumberFormat="1" applyFont="1" applyFill="1" applyBorder="1" applyAlignment="1">
      <alignment horizontal="center" wrapText="1"/>
    </xf>
    <xf numFmtId="188" fontId="1" fillId="6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0" borderId="1" xfId="0" applyFont="1" applyBorder="1" applyAlignment="1"/>
    <xf numFmtId="187" fontId="2" fillId="2" borderId="5" xfId="0" applyNumberFormat="1" applyFont="1" applyFill="1" applyBorder="1" applyAlignment="1"/>
    <xf numFmtId="0" fontId="18" fillId="21" borderId="7" xfId="0" quotePrefix="1" applyFont="1" applyFill="1" applyBorder="1" applyAlignment="1"/>
    <xf numFmtId="188" fontId="2" fillId="33" borderId="8" xfId="0" applyNumberFormat="1" applyFont="1" applyFill="1" applyBorder="1" applyAlignment="1"/>
    <xf numFmtId="188" fontId="17" fillId="33" borderId="8" xfId="0" applyNumberFormat="1" applyFont="1" applyFill="1" applyBorder="1" applyAlignment="1">
      <alignment horizontal="right"/>
    </xf>
    <xf numFmtId="189" fontId="17" fillId="33" borderId="8" xfId="0" applyNumberFormat="1" applyFont="1" applyFill="1" applyBorder="1" applyAlignment="1">
      <alignment horizontal="right"/>
    </xf>
    <xf numFmtId="0" fontId="17" fillId="33" borderId="8" xfId="0" applyFont="1" applyFill="1" applyBorder="1" applyAlignment="1">
      <alignment horizontal="center" wrapText="1"/>
    </xf>
    <xf numFmtId="0" fontId="2" fillId="33" borderId="8" xfId="0" applyFont="1" applyFill="1" applyBorder="1" applyAlignment="1"/>
    <xf numFmtId="0" fontId="2" fillId="33" borderId="7" xfId="0" applyFont="1" applyFill="1" applyBorder="1" applyAlignment="1"/>
    <xf numFmtId="187" fontId="2" fillId="33" borderId="7" xfId="0" applyNumberFormat="1" applyFont="1" applyFill="1" applyBorder="1" applyAlignment="1"/>
    <xf numFmtId="0" fontId="17" fillId="33" borderId="7" xfId="0" applyFont="1" applyFill="1" applyBorder="1" applyAlignment="1"/>
    <xf numFmtId="187" fontId="2" fillId="33" borderId="6" xfId="0" applyNumberFormat="1" applyFont="1" applyFill="1" applyBorder="1" applyAlignment="1"/>
    <xf numFmtId="188" fontId="2" fillId="32" borderId="8" xfId="0" applyNumberFormat="1" applyFont="1" applyFill="1" applyBorder="1" applyAlignment="1"/>
    <xf numFmtId="189" fontId="2" fillId="32" borderId="8" xfId="0" applyNumberFormat="1" applyFont="1" applyFill="1" applyBorder="1" applyAlignment="1"/>
    <xf numFmtId="0" fontId="2" fillId="32" borderId="8" xfId="0" applyFont="1" applyFill="1" applyBorder="1" applyAlignment="1"/>
    <xf numFmtId="187" fontId="2" fillId="32" borderId="7" xfId="0" applyNumberFormat="1" applyFont="1" applyFill="1" applyBorder="1" applyAlignment="1"/>
    <xf numFmtId="0" fontId="2" fillId="32" borderId="7" xfId="0" applyFont="1" applyFill="1" applyBorder="1" applyAlignment="1"/>
    <xf numFmtId="187" fontId="17" fillId="32" borderId="6" xfId="0" applyNumberFormat="1" applyFont="1" applyFill="1" applyBorder="1" applyAlignment="1"/>
    <xf numFmtId="188" fontId="2" fillId="31" borderId="4" xfId="0" applyNumberFormat="1" applyFont="1" applyFill="1" applyBorder="1" applyAlignment="1"/>
    <xf numFmtId="188" fontId="2" fillId="31" borderId="1" xfId="0" applyNumberFormat="1" applyFont="1" applyFill="1" applyBorder="1" applyAlignment="1"/>
    <xf numFmtId="189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187" fontId="2" fillId="31" borderId="1" xfId="0" applyNumberFormat="1" applyFont="1" applyFill="1" applyBorder="1" applyAlignment="1"/>
    <xf numFmtId="187" fontId="17" fillId="31" borderId="5" xfId="0" applyNumberFormat="1" applyFont="1" applyFill="1" applyBorder="1" applyAlignment="1"/>
    <xf numFmtId="0" fontId="5" fillId="21" borderId="7" xfId="0" quotePrefix="1" applyFont="1" applyFill="1" applyBorder="1" applyAlignment="1"/>
    <xf numFmtId="0" fontId="5" fillId="24" borderId="7" xfId="0" applyFont="1" applyFill="1" applyBorder="1" applyAlignment="1"/>
    <xf numFmtId="0" fontId="5" fillId="2" borderId="7" xfId="0" applyFont="1" applyFill="1" applyBorder="1" applyAlignment="1"/>
    <xf numFmtId="187" fontId="5" fillId="24" borderId="9" xfId="0" applyNumberFormat="1" applyFont="1" applyFill="1" applyBorder="1" applyAlignment="1"/>
    <xf numFmtId="0" fontId="18" fillId="2" borderId="7" xfId="0" quotePrefix="1" applyFont="1" applyFill="1" applyBorder="1" applyAlignment="1"/>
    <xf numFmtId="0" fontId="5" fillId="2" borderId="7" xfId="0" quotePrefix="1" applyFont="1" applyFill="1" applyBorder="1" applyAlignment="1"/>
    <xf numFmtId="0" fontId="8" fillId="8" borderId="7" xfId="0" applyFont="1" applyFill="1" applyBorder="1" applyAlignment="1"/>
    <xf numFmtId="0" fontId="5" fillId="8" borderId="7" xfId="0" applyFont="1" applyFill="1" applyBorder="1" applyAlignment="1"/>
    <xf numFmtId="0" fontId="5" fillId="18" borderId="7" xfId="0" applyFont="1" applyFill="1" applyBorder="1" applyAlignment="1"/>
    <xf numFmtId="0" fontId="5" fillId="14" borderId="7" xfId="0" applyFont="1" applyFill="1" applyBorder="1" applyAlignment="1"/>
    <xf numFmtId="188" fontId="16" fillId="0" borderId="4" xfId="0" applyNumberFormat="1" applyFont="1" applyBorder="1" applyAlignment="1"/>
    <xf numFmtId="0" fontId="16" fillId="0" borderId="4" xfId="0" applyFont="1" applyBorder="1" applyAlignment="1"/>
    <xf numFmtId="0" fontId="16" fillId="0" borderId="1" xfId="0" applyFont="1" applyBorder="1" applyAlignment="1"/>
    <xf numFmtId="187" fontId="16" fillId="0" borderId="1" xfId="0" applyNumberFormat="1" applyFont="1" applyBorder="1" applyAlignment="1"/>
    <xf numFmtId="187" fontId="16" fillId="0" borderId="5" xfId="0" applyNumberFormat="1" applyFont="1" applyBorder="1" applyAlignment="1"/>
    <xf numFmtId="188" fontId="16" fillId="8" borderId="8" xfId="0" applyNumberFormat="1" applyFont="1" applyFill="1" applyBorder="1" applyAlignment="1"/>
    <xf numFmtId="189" fontId="16" fillId="8" borderId="8" xfId="0" applyNumberFormat="1" applyFont="1" applyFill="1" applyBorder="1" applyAlignment="1"/>
    <xf numFmtId="0" fontId="16" fillId="8" borderId="8" xfId="0" applyFont="1" applyFill="1" applyBorder="1" applyAlignment="1"/>
    <xf numFmtId="0" fontId="16" fillId="8" borderId="7" xfId="0" applyFont="1" applyFill="1" applyBorder="1" applyAlignment="1"/>
    <xf numFmtId="187" fontId="16" fillId="8" borderId="7" xfId="0" applyNumberFormat="1" applyFont="1" applyFill="1" applyBorder="1" applyAlignment="1"/>
    <xf numFmtId="187" fontId="16" fillId="8" borderId="6" xfId="0" applyNumberFormat="1" applyFont="1" applyFill="1" applyBorder="1" applyAlignment="1"/>
    <xf numFmtId="188" fontId="16" fillId="21" borderId="8" xfId="0" applyNumberFormat="1" applyFont="1" applyFill="1" applyBorder="1" applyAlignment="1"/>
    <xf numFmtId="189" fontId="16" fillId="21" borderId="8" xfId="0" applyNumberFormat="1" applyFont="1" applyFill="1" applyBorder="1" applyAlignment="1"/>
    <xf numFmtId="187" fontId="16" fillId="21" borderId="7" xfId="0" applyNumberFormat="1" applyFont="1" applyFill="1" applyBorder="1" applyAlignment="1"/>
    <xf numFmtId="187" fontId="16" fillId="21" borderId="6" xfId="0" applyNumberFormat="1" applyFont="1" applyFill="1" applyBorder="1" applyAlignment="1"/>
    <xf numFmtId="188" fontId="16" fillId="23" borderId="8" xfId="0" applyNumberFormat="1" applyFont="1" applyFill="1" applyBorder="1" applyAlignment="1"/>
    <xf numFmtId="189" fontId="16" fillId="23" borderId="8" xfId="0" applyNumberFormat="1" applyFont="1" applyFill="1" applyBorder="1" applyAlignment="1"/>
    <xf numFmtId="0" fontId="16" fillId="23" borderId="8" xfId="0" applyFont="1" applyFill="1" applyBorder="1" applyAlignment="1"/>
    <xf numFmtId="0" fontId="16" fillId="23" borderId="7" xfId="0" applyFont="1" applyFill="1" applyBorder="1" applyAlignment="1"/>
    <xf numFmtId="187" fontId="16" fillId="23" borderId="7" xfId="0" applyNumberFormat="1" applyFont="1" applyFill="1" applyBorder="1" applyAlignment="1"/>
    <xf numFmtId="187" fontId="7" fillId="2" borderId="9" xfId="0" applyNumberFormat="1" applyFont="1" applyFill="1" applyBorder="1" applyAlignment="1"/>
    <xf numFmtId="0" fontId="29" fillId="0" borderId="8" xfId="0" applyFont="1" applyBorder="1" applyAlignment="1">
      <alignment horizontal="center"/>
    </xf>
    <xf numFmtId="0" fontId="27" fillId="0" borderId="7" xfId="0" applyFont="1" applyBorder="1" applyAlignment="1"/>
    <xf numFmtId="0" fontId="29" fillId="0" borderId="7" xfId="0" quotePrefix="1" applyFont="1" applyBorder="1" applyAlignment="1"/>
    <xf numFmtId="187" fontId="29" fillId="0" borderId="7" xfId="0" quotePrefix="1" applyNumberFormat="1" applyFont="1" applyBorder="1" applyAlignment="1"/>
    <xf numFmtId="0" fontId="28" fillId="21" borderId="7" xfId="0" quotePrefix="1" applyFont="1" applyFill="1" applyBorder="1" applyAlignment="1"/>
    <xf numFmtId="187" fontId="26" fillId="2" borderId="7" xfId="0" applyNumberFormat="1" applyFont="1" applyFill="1" applyBorder="1" applyAlignment="1"/>
    <xf numFmtId="188" fontId="29" fillId="22" borderId="8" xfId="0" applyNumberFormat="1" applyFont="1" applyFill="1" applyBorder="1" applyAlignment="1">
      <alignment horizontal="right"/>
    </xf>
    <xf numFmtId="187" fontId="26" fillId="0" borderId="8" xfId="0" applyNumberFormat="1" applyFont="1" applyBorder="1" applyAlignment="1">
      <alignment horizontal="center" wrapText="1"/>
    </xf>
    <xf numFmtId="188" fontId="27" fillId="24" borderId="8" xfId="0" applyNumberFormat="1" applyFont="1" applyFill="1" applyBorder="1" applyAlignment="1"/>
    <xf numFmtId="188" fontId="26" fillId="24" borderId="8" xfId="0" applyNumberFormat="1" applyFont="1" applyFill="1" applyBorder="1" applyAlignment="1">
      <alignment horizontal="right"/>
    </xf>
    <xf numFmtId="189" fontId="26" fillId="24" borderId="8" xfId="0" applyNumberFormat="1" applyFont="1" applyFill="1" applyBorder="1" applyAlignment="1">
      <alignment horizontal="right"/>
    </xf>
    <xf numFmtId="0" fontId="26" fillId="24" borderId="8" xfId="0" applyFont="1" applyFill="1" applyBorder="1" applyAlignment="1">
      <alignment horizontal="center" wrapText="1"/>
    </xf>
    <xf numFmtId="0" fontId="27" fillId="24" borderId="8" xfId="0" applyFont="1" applyFill="1" applyBorder="1" applyAlignment="1"/>
    <xf numFmtId="0" fontId="27" fillId="24" borderId="7" xfId="0" applyFont="1" applyFill="1" applyBorder="1" applyAlignment="1"/>
    <xf numFmtId="0" fontId="26" fillId="24" borderId="7" xfId="0" applyFont="1" applyFill="1" applyBorder="1" applyAlignment="1"/>
    <xf numFmtId="187" fontId="27" fillId="24" borderId="7" xfId="0" applyNumberFormat="1" applyFont="1" applyFill="1" applyBorder="1" applyAlignment="1"/>
    <xf numFmtId="187" fontId="27" fillId="24" borderId="6" xfId="0" applyNumberFormat="1" applyFont="1" applyFill="1" applyBorder="1" applyAlignment="1"/>
    <xf numFmtId="187" fontId="6" fillId="2" borderId="9" xfId="0" applyNumberFormat="1" applyFont="1" applyFill="1" applyBorder="1" applyAlignment="1"/>
    <xf numFmtId="187" fontId="7" fillId="0" borderId="7" xfId="0" quotePrefix="1" applyNumberFormat="1" applyFont="1" applyBorder="1" applyAlignment="1"/>
    <xf numFmtId="188" fontId="2" fillId="2" borderId="11" xfId="0" applyNumberFormat="1" applyFont="1" applyFill="1" applyBorder="1" applyAlignment="1"/>
    <xf numFmtId="188" fontId="2" fillId="0" borderId="11" xfId="0" applyNumberFormat="1" applyFont="1" applyBorder="1" applyAlignment="1"/>
    <xf numFmtId="188" fontId="7" fillId="22" borderId="11" xfId="0" applyNumberFormat="1" applyFont="1" applyFill="1" applyBorder="1" applyAlignment="1">
      <alignment horizontal="right"/>
    </xf>
    <xf numFmtId="188" fontId="7" fillId="2" borderId="11" xfId="0" applyNumberFormat="1" applyFont="1" applyFill="1" applyBorder="1" applyAlignment="1">
      <alignment horizontal="right"/>
    </xf>
    <xf numFmtId="189" fontId="2" fillId="2" borderId="11" xfId="0" applyNumberFormat="1" applyFont="1" applyFill="1" applyBorder="1" applyAlignment="1"/>
    <xf numFmtId="0" fontId="7" fillId="2" borderId="11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9" xfId="0" applyFont="1" applyFill="1" applyBorder="1" applyAlignment="1"/>
    <xf numFmtId="187" fontId="2" fillId="2" borderId="9" xfId="0" applyNumberFormat="1" applyFont="1" applyFill="1" applyBorder="1" applyAlignment="1"/>
    <xf numFmtId="187" fontId="2" fillId="2" borderId="1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1" width="12.28515625" bestFit="1" customWidth="1"/>
    <col min="12" max="12" width="22.28515625" bestFit="1" customWidth="1"/>
    <col min="13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28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t="shared" ref="L18:N18" ca="1" si="0">L19+L20</f>
        <v>14127360</v>
      </c>
      <c r="M18" s="34">
        <f t="shared" ca="1" si="0"/>
        <v>1549360</v>
      </c>
      <c r="N18" s="34">
        <f t="shared" ca="1" si="0"/>
        <v>633181.8899999999</v>
      </c>
      <c r="O18" s="34">
        <f t="shared" ref="O18:O26" ca="1" si="1">IF(L18&gt;0,N18*100/L18,0)</f>
        <v>4.4819548025958138</v>
      </c>
      <c r="P18" s="34">
        <f t="shared" ref="P18:P26" ca="1" si="2">IF(M18&gt;0,N18*100/M18,0)</f>
        <v>40.867318763876696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 t="shared" ref="L19:N19" si="3">L22+L25</f>
        <v>0</v>
      </c>
      <c r="M19" s="37">
        <f t="shared" si="3"/>
        <v>0</v>
      </c>
      <c r="N19" s="37">
        <f t="shared" si="3"/>
        <v>0</v>
      </c>
      <c r="O19" s="37">
        <f t="shared" si="1"/>
        <v>0</v>
      </c>
      <c r="P19" s="37">
        <f t="shared" si="2"/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t="shared" ref="L20:N20" ca="1" si="4">L23+L26</f>
        <v>14127360</v>
      </c>
      <c r="M20" s="40">
        <f t="shared" ca="1" si="4"/>
        <v>1549360</v>
      </c>
      <c r="N20" s="40">
        <f t="shared" ca="1" si="4"/>
        <v>633181.8899999999</v>
      </c>
      <c r="O20" s="40">
        <f t="shared" ca="1" si="1"/>
        <v>4.4819548025958138</v>
      </c>
      <c r="P20" s="40">
        <f t="shared" ca="1" si="2"/>
        <v>40.867318763876696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t="shared" ref="L21:N21" ca="1" si="5">L22+L23</f>
        <v>1681960</v>
      </c>
      <c r="M21" s="48">
        <f t="shared" ca="1" si="5"/>
        <v>1549360</v>
      </c>
      <c r="N21" s="48">
        <f t="shared" ca="1" si="5"/>
        <v>633181.8899999999</v>
      </c>
      <c r="O21" s="48">
        <f t="shared" ca="1" si="1"/>
        <v>37.645478489381432</v>
      </c>
      <c r="P21" s="48">
        <f t="shared" ca="1" si="2"/>
        <v>40.867318763876696</v>
      </c>
    </row>
    <row r="22" spans="1:16" ht="18.75" hidden="1" x14ac:dyDescent="0.25">
      <c r="A22" s="41"/>
      <c r="B22" s="42"/>
      <c r="C22" s="42"/>
      <c r="D22" s="42"/>
      <c r="E22" s="49" t="s">
        <v>18</v>
      </c>
      <c r="F22" s="42"/>
      <c r="G22" s="44"/>
      <c r="H22" s="50" t="s">
        <v>12</v>
      </c>
      <c r="I22" s="46"/>
      <c r="J22" s="46"/>
      <c r="K22" s="47"/>
      <c r="L22" s="51">
        <f t="shared" ref="L22:N22" si="6">L48+L63+L76+L98+L129+L143+L161+L190+L177+L270+L286+L307+L324+L337+L360+L381</f>
        <v>0</v>
      </c>
      <c r="M22" s="51">
        <f t="shared" si="6"/>
        <v>0</v>
      </c>
      <c r="N22" s="51">
        <f t="shared" si="6"/>
        <v>0</v>
      </c>
      <c r="O22" s="51">
        <f t="shared" si="1"/>
        <v>0</v>
      </c>
      <c r="P22" s="51">
        <f t="shared" si="2"/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t="shared" ref="L23:N23" ca="1" si="7">L49+L64+L77+L99+L130+L144+L162+L191+L178+L271+L287+L308+L325+L338+L361+L382</f>
        <v>1681960</v>
      </c>
      <c r="M23" s="48">
        <f t="shared" ca="1" si="7"/>
        <v>1549360</v>
      </c>
      <c r="N23" s="48">
        <f t="shared" ca="1" si="7"/>
        <v>633181.8899999999</v>
      </c>
      <c r="O23" s="48">
        <f t="shared" ca="1" si="1"/>
        <v>37.645478489381432</v>
      </c>
      <c r="P23" s="48">
        <f t="shared" ca="1" si="2"/>
        <v>40.867318763876696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t="shared" ref="L24:N24" ca="1" si="8">L25+L26</f>
        <v>12445400</v>
      </c>
      <c r="M24" s="48">
        <f t="shared" ca="1" si="8"/>
        <v>0</v>
      </c>
      <c r="N24" s="48">
        <f t="shared" ca="1" si="8"/>
        <v>0</v>
      </c>
      <c r="O24" s="48">
        <f t="shared" ca="1" si="1"/>
        <v>0</v>
      </c>
      <c r="P24" s="48">
        <f t="shared" ca="1" si="2"/>
        <v>0</v>
      </c>
    </row>
    <row r="25" spans="1:16" ht="18.75" hidden="1" x14ac:dyDescent="0.25">
      <c r="A25" s="41"/>
      <c r="B25" s="42"/>
      <c r="C25" s="42"/>
      <c r="D25" s="42"/>
      <c r="E25" s="49" t="s">
        <v>18</v>
      </c>
      <c r="F25" s="42"/>
      <c r="G25" s="44"/>
      <c r="H25" s="50" t="s">
        <v>12</v>
      </c>
      <c r="I25" s="46"/>
      <c r="J25" s="46"/>
      <c r="K25" s="47"/>
      <c r="L25" s="51">
        <f t="shared" ref="L25:N25" si="9">L51+L66+L79+L101+L132+L146+L164+L193+L180+L273+L289+L310+L327+L340+L363+L384</f>
        <v>0</v>
      </c>
      <c r="M25" s="51">
        <f t="shared" si="9"/>
        <v>0</v>
      </c>
      <c r="N25" s="51">
        <f t="shared" si="9"/>
        <v>0</v>
      </c>
      <c r="O25" s="51">
        <f t="shared" si="1"/>
        <v>0</v>
      </c>
      <c r="P25" s="51">
        <f t="shared" si="2"/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t="shared" ref="L26:N26" ca="1" si="10">L52+L67+L80+L102+L133+L147+L165+L194+L181+L274+L290+L311+L328+L341+L364+L385</f>
        <v>12445400</v>
      </c>
      <c r="M26" s="48">
        <f t="shared" ca="1" si="10"/>
        <v>0</v>
      </c>
      <c r="N26" s="48">
        <f t="shared" ca="1" si="10"/>
        <v>0</v>
      </c>
      <c r="O26" s="48">
        <f t="shared" ca="1" si="1"/>
        <v>0</v>
      </c>
      <c r="P26" s="48">
        <f t="shared" ca="1" si="2"/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49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t="shared" ref="L40:N40" ca="1" si="11">L44+L59+L72+L94+L125+L139+L157+L173+L186+L266+L282+L303+L320+L333+L356</f>
        <v>1681960</v>
      </c>
      <c r="M40" s="65">
        <f t="shared" ca="1" si="11"/>
        <v>1549360</v>
      </c>
      <c r="N40" s="65">
        <f t="shared" ca="1" si="11"/>
        <v>633181.8899999999</v>
      </c>
      <c r="O40" s="65">
        <f ca="1">IF(L40&gt;0,N40*100/L40,0)</f>
        <v>37.645478489381432</v>
      </c>
      <c r="P40" s="65">
        <f ca="1">IF(M40&gt;0,N40*100/M40,0)</f>
        <v>40.867318763876696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79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t="shared" ref="L44:N44" ca="1" si="12">L45+L46</f>
        <v>360820</v>
      </c>
      <c r="M44" s="84">
        <f t="shared" ca="1" si="12"/>
        <v>384820</v>
      </c>
      <c r="N44" s="84">
        <f t="shared" ca="1" si="12"/>
        <v>141820</v>
      </c>
      <c r="O44" s="84">
        <f t="shared" ref="O44:O52" ca="1" si="13">IF(L44&gt;0,N44*100/L44,0)</f>
        <v>39.304916578903608</v>
      </c>
      <c r="P44" s="84">
        <f t="shared" ref="P44:P52" ca="1" si="14">IF(M44&gt;0,N44*100/M44,0)</f>
        <v>36.853593888051556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 t="shared" ref="L45:N45" si="15">L48+L51</f>
        <v>0</v>
      </c>
      <c r="M45" s="87">
        <f t="shared" si="15"/>
        <v>0</v>
      </c>
      <c r="N45" s="87">
        <f t="shared" si="15"/>
        <v>0</v>
      </c>
      <c r="O45" s="87">
        <f t="shared" si="13"/>
        <v>0</v>
      </c>
      <c r="P45" s="87">
        <f t="shared" si="14"/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t="shared" ref="L46:N46" ca="1" si="16">L49+L52</f>
        <v>360820</v>
      </c>
      <c r="M46" s="90">
        <f t="shared" ca="1" si="16"/>
        <v>384820</v>
      </c>
      <c r="N46" s="90">
        <f t="shared" ca="1" si="16"/>
        <v>141820</v>
      </c>
      <c r="O46" s="90">
        <f t="shared" ca="1" si="13"/>
        <v>39.304916578903608</v>
      </c>
      <c r="P46" s="90">
        <f t="shared" ca="1" si="14"/>
        <v>36.853593888051556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t="shared" ref="L47:N47" ca="1" si="17">L48+L49</f>
        <v>360820</v>
      </c>
      <c r="M47" s="48">
        <f t="shared" ca="1" si="17"/>
        <v>384820</v>
      </c>
      <c r="N47" s="48">
        <f t="shared" ca="1" si="17"/>
        <v>141820</v>
      </c>
      <c r="O47" s="48">
        <f t="shared" ca="1" si="13"/>
        <v>39.304916578903608</v>
      </c>
      <c r="P47" s="48">
        <f t="shared" ca="1" si="14"/>
        <v>36.853593888051556</v>
      </c>
    </row>
    <row r="48" spans="1:16" ht="18.75" hidden="1" x14ac:dyDescent="0.25">
      <c r="A48" s="41"/>
      <c r="B48" s="42"/>
      <c r="C48" s="42"/>
      <c r="D48" s="42"/>
      <c r="E48" s="49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 t="shared" si="13"/>
        <v>0</v>
      </c>
      <c r="P48" s="51">
        <f t="shared" si="14"/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IFERROR(__xludf.DUMMYFUNCTION("IMPORTRANGE(""https://docs.google.com/spreadsheets/d/1-uDff_7J0KD5mKrp0Vvzr7lt3OU09vwQwhkpOPPYv2Y/edit?usp=sharing"",""งบพรบ!P75"")"),360820)</f>
        <v>360820</v>
      </c>
      <c r="M49" s="48">
        <f ca="1">IFERROR(__xludf.DUMMYFUNCTION("IMPORTRANGE(""https://docs.google.com/spreadsheets/d/1-uDff_7J0KD5mKrp0Vvzr7lt3OU09vwQwhkpOPPYv2Y/edit?usp=sharing"",""งบพรบ!V75"")"),384820)</f>
        <v>384820</v>
      </c>
      <c r="N49" s="48">
        <f ca="1">IFERROR(__xludf.DUMMYFUNCTION("IMPORTRANGE(""https://docs.google.com/spreadsheets/d/1-uDff_7J0KD5mKrp0Vvzr7lt3OU09vwQwhkpOPPYv2Y/edit?usp=sharing"",""งบพรบ!Y75"")"),141820)</f>
        <v>141820</v>
      </c>
      <c r="O49" s="48">
        <f t="shared" ca="1" si="13"/>
        <v>39.304916578903608</v>
      </c>
      <c r="P49" s="48">
        <f t="shared" ca="1" si="14"/>
        <v>36.853593888051556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t="shared" ref="L50:N50" ca="1" si="18">L51+L52</f>
        <v>0</v>
      </c>
      <c r="M50" s="48">
        <f t="shared" ca="1" si="18"/>
        <v>0</v>
      </c>
      <c r="N50" s="48">
        <f t="shared" ca="1" si="18"/>
        <v>0</v>
      </c>
      <c r="O50" s="48">
        <f t="shared" ca="1" si="13"/>
        <v>0</v>
      </c>
      <c r="P50" s="48">
        <f t="shared" ca="1" si="14"/>
        <v>0</v>
      </c>
    </row>
    <row r="51" spans="1:16" ht="18.75" hidden="1" x14ac:dyDescent="0.25">
      <c r="A51" s="41"/>
      <c r="B51" s="42"/>
      <c r="C51" s="42"/>
      <c r="D51" s="42"/>
      <c r="E51" s="49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 t="shared" si="13"/>
        <v>0</v>
      </c>
      <c r="P51" s="51">
        <f t="shared" si="14"/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IFERROR(__xludf.DUMMYFUNCTION("IMPORTRANGE(""https://docs.google.com/spreadsheets/d/1-uDff_7J0KD5mKrp0Vvzr7lt3OU09vwQwhkpOPPYv2Y/edit?usp=sharing"",""งบพรบ!S75"")"),0)</f>
        <v>0</v>
      </c>
      <c r="M52" s="48">
        <f ca="1">IFERROR(__xludf.DUMMYFUNCTION("IMPORTRANGE(""https://docs.google.com/spreadsheets/d/1-uDff_7J0KD5mKrp0Vvzr7lt3OU09vwQwhkpOPPYv2Y/edit?usp=sharing"",""งบพรบ!W75"")"),0)</f>
        <v>0</v>
      </c>
      <c r="N52" s="48">
        <f ca="1">IFERROR(__xludf.DUMMYFUNCTION("IMPORTRANGE(""https://docs.google.com/spreadsheets/d/1-uDff_7J0KD5mKrp0Vvzr7lt3OU09vwQwhkpOPPYv2Y/edit?usp=sharing"",""งบพรบ!Z75"")"),0)</f>
        <v>0</v>
      </c>
      <c r="O52" s="48">
        <f t="shared" ca="1" si="13"/>
        <v>0</v>
      </c>
      <c r="P52" s="48">
        <f t="shared" ca="1" si="14"/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49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108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t="shared" ref="L59:N59" ca="1" si="19">L60+L61</f>
        <v>444800</v>
      </c>
      <c r="M59" s="113">
        <f t="shared" ca="1" si="19"/>
        <v>335650</v>
      </c>
      <c r="N59" s="113">
        <f t="shared" ca="1" si="19"/>
        <v>202841.22</v>
      </c>
      <c r="O59" s="113">
        <f t="shared" ref="O59:O67" ca="1" si="20">IF(L59&gt;0,N59*100/L59,0)</f>
        <v>45.602792266187052</v>
      </c>
      <c r="P59" s="113">
        <f t="shared" ref="P59:P67" ca="1" si="21">IF(M59&gt;0,N59*100/M59,0)</f>
        <v>60.432361090421573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 t="shared" ref="L60:N60" si="22">L63+L66</f>
        <v>0</v>
      </c>
      <c r="M60" s="116">
        <f t="shared" si="22"/>
        <v>0</v>
      </c>
      <c r="N60" s="116">
        <f t="shared" si="22"/>
        <v>0</v>
      </c>
      <c r="O60" s="116">
        <f t="shared" si="20"/>
        <v>0</v>
      </c>
      <c r="P60" s="116">
        <f t="shared" si="21"/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t="shared" ref="L61:N61" ca="1" si="23">L64+L67</f>
        <v>444800</v>
      </c>
      <c r="M61" s="119">
        <f t="shared" ca="1" si="23"/>
        <v>335650</v>
      </c>
      <c r="N61" s="119">
        <f t="shared" ca="1" si="23"/>
        <v>202841.22</v>
      </c>
      <c r="O61" s="119">
        <f t="shared" ca="1" si="20"/>
        <v>45.602792266187052</v>
      </c>
      <c r="P61" s="119">
        <f t="shared" ca="1" si="21"/>
        <v>60.432361090421573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t="shared" ref="L62:N62" ca="1" si="24">L63+L64</f>
        <v>444800</v>
      </c>
      <c r="M62" s="48">
        <f t="shared" ca="1" si="24"/>
        <v>335650</v>
      </c>
      <c r="N62" s="48">
        <f t="shared" ca="1" si="24"/>
        <v>202841.22</v>
      </c>
      <c r="O62" s="48">
        <f t="shared" ca="1" si="20"/>
        <v>45.602792266187052</v>
      </c>
      <c r="P62" s="48">
        <f t="shared" ca="1" si="21"/>
        <v>60.432361090421573</v>
      </c>
    </row>
    <row r="63" spans="1:16" ht="18.75" hidden="1" x14ac:dyDescent="0.25">
      <c r="A63" s="41"/>
      <c r="B63" s="42"/>
      <c r="C63" s="42"/>
      <c r="D63" s="42"/>
      <c r="E63" s="49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 t="shared" si="20"/>
        <v>0</v>
      </c>
      <c r="P63" s="51">
        <f t="shared" si="21"/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IFERROR(__xludf.DUMMYFUNCTION("IMPORTRANGE(""https://docs.google.com/spreadsheets/d/1-uDff_7J0KD5mKrp0Vvzr7lt3OU09vwQwhkpOPPYv2Y/edit?usp=sharing"",""งบพรบ!AC75"")"),444800)</f>
        <v>444800</v>
      </c>
      <c r="M64" s="48">
        <f ca="1">IFERROR(__xludf.DUMMYFUNCTION("IMPORTRANGE(""https://docs.google.com/spreadsheets/d/1-uDff_7J0KD5mKrp0Vvzr7lt3OU09vwQwhkpOPPYv2Y/edit?usp=sharing"",""งบพรบ!AH75"")"),335650)</f>
        <v>335650</v>
      </c>
      <c r="N64" s="48">
        <f ca="1">IFERROR(__xludf.DUMMYFUNCTION("IMPORTRANGE(""https://docs.google.com/spreadsheets/d/1-uDff_7J0KD5mKrp0Vvzr7lt3OU09vwQwhkpOPPYv2Y/edit?usp=sharing"",""งบพรบ!AJ75"")"),202841.22)</f>
        <v>202841.22</v>
      </c>
      <c r="O64" s="48">
        <f t="shared" ca="1" si="20"/>
        <v>45.602792266187052</v>
      </c>
      <c r="P64" s="48">
        <f t="shared" ca="1" si="21"/>
        <v>60.432361090421573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t="shared" ref="L65:N65" ca="1" si="25">L66+L67</f>
        <v>0</v>
      </c>
      <c r="M65" s="48">
        <f t="shared" ca="1" si="25"/>
        <v>0</v>
      </c>
      <c r="N65" s="48">
        <f t="shared" ca="1" si="25"/>
        <v>0</v>
      </c>
      <c r="O65" s="48">
        <f t="shared" ca="1" si="20"/>
        <v>0</v>
      </c>
      <c r="P65" s="48">
        <f t="shared" ca="1" si="21"/>
        <v>0</v>
      </c>
    </row>
    <row r="66" spans="1:16" ht="18.75" hidden="1" x14ac:dyDescent="0.25">
      <c r="A66" s="41"/>
      <c r="B66" s="42"/>
      <c r="C66" s="42"/>
      <c r="D66" s="42"/>
      <c r="E66" s="49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 t="shared" si="20"/>
        <v>0</v>
      </c>
      <c r="P66" s="51">
        <f t="shared" si="21"/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IFERROR(__xludf.DUMMYFUNCTION("IMPORTRANGE(""https://docs.google.com/spreadsheets/d/1-uDff_7J0KD5mKrp0Vvzr7lt3OU09vwQwhkpOPPYv2Y/edit?usp=sharing"",""งบพรบ!AF75"")"),0)</f>
        <v>0</v>
      </c>
      <c r="M67" s="59">
        <f ca="1">IFERROR(__xludf.DUMMYFUNCTION("IMPORTRANGE(""https://docs.google.com/spreadsheets/d/1-uDff_7J0KD5mKrp0Vvzr7lt3OU09vwQwhkpOPPYv2Y/edit?usp=sharing"",""งบพรบ!AI75"")"),0)</f>
        <v>0</v>
      </c>
      <c r="N67" s="59">
        <f ca="1">IFERROR(__xludf.DUMMYFUNCTION("IMPORTRANGE(""https://docs.google.com/spreadsheets/d/1-uDff_7J0KD5mKrp0Vvzr7lt3OU09vwQwhkpOPPYv2Y/edit?usp=sharing"",""งบพรบ!AK75"")"),0)</f>
        <v>0</v>
      </c>
      <c r="O67" s="59">
        <f t="shared" ca="1" si="20"/>
        <v>0</v>
      </c>
      <c r="P67" s="59">
        <f t="shared" ca="1" si="21"/>
        <v>0</v>
      </c>
    </row>
    <row r="68" spans="1:16" ht="19.5" hidden="1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t="shared" ref="I70:J70" ca="1" si="26">I82</f>
        <v>0</v>
      </c>
      <c r="J70" s="136">
        <f t="shared" si="26"/>
        <v>0</v>
      </c>
      <c r="K70" s="34">
        <f t="shared" ref="K70:K71" ca="1" si="27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t="shared" ref="I71:J71" ca="1" si="28">I83</f>
        <v>0</v>
      </c>
      <c r="J71" s="136">
        <f t="shared" si="28"/>
        <v>0</v>
      </c>
      <c r="K71" s="34">
        <f t="shared" ca="1" si="27"/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38" t="s">
        <v>16</v>
      </c>
      <c r="D72" s="139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t="shared" ref="L72:N72" ca="1" si="29">L73+L74</f>
        <v>0</v>
      </c>
      <c r="M72" s="141">
        <f t="shared" ca="1" si="29"/>
        <v>0</v>
      </c>
      <c r="N72" s="141">
        <f t="shared" ca="1" si="29"/>
        <v>0</v>
      </c>
      <c r="O72" s="141">
        <f t="shared" ref="O72:O80" ca="1" si="30">IF(L72&gt;0,N72*100/L72,0)</f>
        <v>0</v>
      </c>
      <c r="P72" s="141">
        <f t="shared" ref="P72:P80" ca="1" si="31">IF(M72&gt;0,N72*100/M72,0)</f>
        <v>0</v>
      </c>
    </row>
    <row r="73" spans="1:16" ht="18.75" hidden="1" x14ac:dyDescent="0.25">
      <c r="A73" s="137"/>
      <c r="B73" s="42"/>
      <c r="C73" s="42"/>
      <c r="D73" s="42"/>
      <c r="E73" s="49" t="s">
        <v>18</v>
      </c>
      <c r="F73" s="42"/>
      <c r="G73" s="44"/>
      <c r="H73" s="142" t="s">
        <v>12</v>
      </c>
      <c r="I73" s="46"/>
      <c r="J73" s="46"/>
      <c r="K73" s="47"/>
      <c r="L73" s="51">
        <f t="shared" ref="L73:N73" si="32">L76+L79</f>
        <v>0</v>
      </c>
      <c r="M73" s="51">
        <f t="shared" si="32"/>
        <v>0</v>
      </c>
      <c r="N73" s="51">
        <f t="shared" si="32"/>
        <v>0</v>
      </c>
      <c r="O73" s="51">
        <f t="shared" si="30"/>
        <v>0</v>
      </c>
      <c r="P73" s="51">
        <f t="shared" si="31"/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t="shared" ref="L74:N74" ca="1" si="33">L77+L80</f>
        <v>0</v>
      </c>
      <c r="M74" s="48">
        <f t="shared" ca="1" si="33"/>
        <v>0</v>
      </c>
      <c r="N74" s="48">
        <f t="shared" ca="1" si="33"/>
        <v>0</v>
      </c>
      <c r="O74" s="48">
        <f t="shared" ca="1" si="30"/>
        <v>0</v>
      </c>
      <c r="P74" s="48">
        <f t="shared" ca="1" si="31"/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t="shared" ref="L75:N75" ca="1" si="34">L76+L77</f>
        <v>0</v>
      </c>
      <c r="M75" s="48">
        <f t="shared" ca="1" si="34"/>
        <v>0</v>
      </c>
      <c r="N75" s="48">
        <f t="shared" ca="1" si="34"/>
        <v>0</v>
      </c>
      <c r="O75" s="48">
        <f t="shared" ca="1" si="30"/>
        <v>0</v>
      </c>
      <c r="P75" s="48">
        <f t="shared" ca="1" si="31"/>
        <v>0</v>
      </c>
    </row>
    <row r="76" spans="1:16" ht="18.75" hidden="1" x14ac:dyDescent="0.25">
      <c r="A76" s="137"/>
      <c r="B76" s="42"/>
      <c r="C76" s="42"/>
      <c r="D76" s="42"/>
      <c r="E76" s="49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 t="shared" si="30"/>
        <v>0</v>
      </c>
      <c r="P76" s="51">
        <f t="shared" si="31"/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IFERROR(__xludf.DUMMYFUNCTION("IMPORTRANGE(""https://docs.google.com/spreadsheets/d/1-uDff_7J0KD5mKrp0Vvzr7lt3OU09vwQwhkpOPPYv2Y/edit?usp=sharing"",""งบพรบ!AM75"")"),0)</f>
        <v>0</v>
      </c>
      <c r="M77" s="48">
        <f ca="1">IFERROR(__xludf.DUMMYFUNCTION("IMPORTRANGE(""https://docs.google.com/spreadsheets/d/1-uDff_7J0KD5mKrp0Vvzr7lt3OU09vwQwhkpOPPYv2Y/edit?usp=sharing"",""งบพรบ!AR75"")"),0)</f>
        <v>0</v>
      </c>
      <c r="N77" s="48">
        <f ca="1">IFERROR(__xludf.DUMMYFUNCTION("IMPORTRANGE(""https://docs.google.com/spreadsheets/d/1-uDff_7J0KD5mKrp0Vvzr7lt3OU09vwQwhkpOPPYv2Y/edit?usp=sharing"",""งบพรบ!AT75"")"),0)</f>
        <v>0</v>
      </c>
      <c r="O77" s="48">
        <f t="shared" ca="1" si="30"/>
        <v>0</v>
      </c>
      <c r="P77" s="48">
        <f t="shared" ca="1" si="31"/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t="shared" ref="L78:N78" ca="1" si="35">L79+L80</f>
        <v>0</v>
      </c>
      <c r="M78" s="48">
        <f t="shared" ca="1" si="35"/>
        <v>0</v>
      </c>
      <c r="N78" s="48">
        <f t="shared" ca="1" si="35"/>
        <v>0</v>
      </c>
      <c r="O78" s="48">
        <f t="shared" ca="1" si="30"/>
        <v>0</v>
      </c>
      <c r="P78" s="48">
        <f t="shared" ca="1" si="31"/>
        <v>0</v>
      </c>
    </row>
    <row r="79" spans="1:16" ht="18.75" hidden="1" x14ac:dyDescent="0.25">
      <c r="A79" s="137"/>
      <c r="B79" s="42"/>
      <c r="C79" s="42"/>
      <c r="D79" s="42"/>
      <c r="E79" s="49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 t="shared" si="30"/>
        <v>0</v>
      </c>
      <c r="P79" s="51">
        <f t="shared" si="31"/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IFERROR(__xludf.DUMMYFUNCTION("IMPORTRANGE(""https://docs.google.com/spreadsheets/d/1-uDff_7J0KD5mKrp0Vvzr7lt3OU09vwQwhkpOPPYv2Y/edit?usp=sharing"",""งบพรบ!AP75"")"),0)</f>
        <v>0</v>
      </c>
      <c r="M80" s="48">
        <f ca="1">IFERROR(__xludf.DUMMYFUNCTION("IMPORTRANGE(""https://docs.google.com/spreadsheets/d/1-uDff_7J0KD5mKrp0Vvzr7lt3OU09vwQwhkpOPPYv2Y/edit?usp=sharing"",""งบพรบ!AS75"")"),0)</f>
        <v>0</v>
      </c>
      <c r="N80" s="48">
        <f ca="1">IFERROR(__xludf.DUMMYFUNCTION("IMPORTRANGE(""https://docs.google.com/spreadsheets/d/1-uDff_7J0KD5mKrp0Vvzr7lt3OU09vwQwhkpOPPYv2Y/edit?usp=sharing"",""งบพรบ!AU75"")"),0)</f>
        <v>0</v>
      </c>
      <c r="O80" s="48">
        <f t="shared" ca="1" si="30"/>
        <v>0</v>
      </c>
      <c r="P80" s="48">
        <f t="shared" ca="1" si="31"/>
        <v>0</v>
      </c>
    </row>
    <row r="81" spans="1:16" ht="19.5" hidden="1" x14ac:dyDescent="0.3">
      <c r="A81" s="149"/>
      <c r="B81" s="150"/>
      <c r="C81" s="138" t="s">
        <v>16</v>
      </c>
      <c r="D81" s="151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t="shared" ref="I82:J82" ca="1" si="36">I84+I86+I88</f>
        <v>0</v>
      </c>
      <c r="J82" s="158">
        <f t="shared" si="36"/>
        <v>0</v>
      </c>
      <c r="K82" s="159">
        <f t="shared" ref="K82:K90" ca="1" si="37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t="shared" ref="I83:J83" ca="1" si="38">I85+I87+I89</f>
        <v>0</v>
      </c>
      <c r="J83" s="158">
        <f t="shared" si="38"/>
        <v>0</v>
      </c>
      <c r="K83" s="159">
        <f t="shared" ca="1" si="37"/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161" t="s">
        <v>32</v>
      </c>
      <c r="I84" s="162">
        <f ca="1">IFERROR(__xludf.DUMMYFUNCTION("IMPORTRANGE(""https://docs.google.com/spreadsheets/d/1eHaY18a8A9IcSdp1K8H6x8fbOy06t2VsZHhMHf-1x7Y/edit?usp=sharing"",""แผน!H75"")"),0)</f>
        <v>0</v>
      </c>
      <c r="J84" s="163">
        <v>0</v>
      </c>
      <c r="K84" s="164">
        <f t="shared" ca="1" si="37"/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161" t="s">
        <v>33</v>
      </c>
      <c r="I85" s="162">
        <f ca="1">IFERROR(__xludf.DUMMYFUNCTION("IMPORTRANGE(""https://docs.google.com/spreadsheets/d/1eHaY18a8A9IcSdp1K8H6x8fbOy06t2VsZHhMHf-1x7Y/edit?usp=sharing"",""แผน!I75"")"),0)</f>
        <v>0</v>
      </c>
      <c r="J85" s="163">
        <v>0</v>
      </c>
      <c r="K85" s="164">
        <f t="shared" ca="1" si="37"/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161" t="s">
        <v>32</v>
      </c>
      <c r="I86" s="162">
        <f ca="1">IFERROR(__xludf.DUMMYFUNCTION("IMPORTRANGE(""https://docs.google.com/spreadsheets/d/1eHaY18a8A9IcSdp1K8H6x8fbOy06t2VsZHhMHf-1x7Y/edit?usp=sharing"",""แผน!F75"")"),0)</f>
        <v>0</v>
      </c>
      <c r="J86" s="163">
        <v>0</v>
      </c>
      <c r="K86" s="164">
        <f t="shared" ca="1" si="37"/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161" t="s">
        <v>33</v>
      </c>
      <c r="I87" s="162">
        <f ca="1">IFERROR(__xludf.DUMMYFUNCTION("IMPORTRANGE(""https://docs.google.com/spreadsheets/d/1eHaY18a8A9IcSdp1K8H6x8fbOy06t2VsZHhMHf-1x7Y/edit?usp=sharing"",""แผน!G75"")"),0)</f>
        <v>0</v>
      </c>
      <c r="J87" s="163">
        <v>0</v>
      </c>
      <c r="K87" s="164">
        <f t="shared" ca="1" si="37"/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161" t="s">
        <v>32</v>
      </c>
      <c r="I88" s="162">
        <f ca="1">IFERROR(__xludf.DUMMYFUNCTION("IMPORTRANGE(""https://docs.google.com/spreadsheets/d/1eHaY18a8A9IcSdp1K8H6x8fbOy06t2VsZHhMHf-1x7Y/edit?usp=sharing"",""แผน!D75"")"),0)</f>
        <v>0</v>
      </c>
      <c r="J88" s="163">
        <v>0</v>
      </c>
      <c r="K88" s="164">
        <f t="shared" ca="1" si="37"/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161" t="s">
        <v>33</v>
      </c>
      <c r="I89" s="162">
        <f ca="1">IFERROR(__xludf.DUMMYFUNCTION("IMPORTRANGE(""https://docs.google.com/spreadsheets/d/1eHaY18a8A9IcSdp1K8H6x8fbOy06t2VsZHhMHf-1x7Y/edit?usp=sharing"",""แผน!E75"")"),0)</f>
        <v>0</v>
      </c>
      <c r="J89" s="163">
        <v>0</v>
      </c>
      <c r="K89" s="164">
        <f t="shared" ca="1" si="37"/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IFERROR(__xludf.DUMMYFUNCTION("IMPORTRANGE(""https://docs.google.com/spreadsheets/d/1eHaY18a8A9IcSdp1K8H6x8fbOy06t2VsZHhMHf-1x7Y/edit?usp=sharing"",""แผน!J75"")"),0)</f>
        <v>0</v>
      </c>
      <c r="J90" s="163">
        <v>0</v>
      </c>
      <c r="K90" s="164">
        <f t="shared" ca="1" si="37"/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t="shared" ref="I92:J92" ca="1" si="39">I108</f>
        <v>0</v>
      </c>
      <c r="J92" s="136">
        <f t="shared" si="39"/>
        <v>0</v>
      </c>
      <c r="K92" s="34">
        <f t="shared" ref="K92:K93" ca="1" si="40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t="shared" ref="I93:J93" ca="1" si="41">I109</f>
        <v>0</v>
      </c>
      <c r="J93" s="136">
        <f t="shared" si="41"/>
        <v>0</v>
      </c>
      <c r="K93" s="34">
        <f t="shared" ca="1" si="40"/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38" t="s">
        <v>16</v>
      </c>
      <c r="D94" s="139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t="shared" ref="L94:N94" ca="1" si="42">L95+L96</f>
        <v>0</v>
      </c>
      <c r="M94" s="141">
        <f t="shared" ca="1" si="42"/>
        <v>0</v>
      </c>
      <c r="N94" s="141">
        <f t="shared" ca="1" si="42"/>
        <v>0</v>
      </c>
      <c r="O94" s="141">
        <f t="shared" ref="O94:O102" ca="1" si="43">IF(L94&gt;0,N94*100/L94,0)</f>
        <v>0</v>
      </c>
      <c r="P94" s="141">
        <f t="shared" ref="P94:P102" ca="1" si="44">IF(M94&gt;0,N94*100/M94,0)</f>
        <v>0</v>
      </c>
    </row>
    <row r="95" spans="1:16" ht="18.75" hidden="1" x14ac:dyDescent="0.25">
      <c r="A95" s="137"/>
      <c r="B95" s="42"/>
      <c r="C95" s="42"/>
      <c r="D95" s="42"/>
      <c r="E95" s="49" t="s">
        <v>18</v>
      </c>
      <c r="F95" s="42"/>
      <c r="G95" s="44"/>
      <c r="H95" s="142" t="s">
        <v>12</v>
      </c>
      <c r="I95" s="46"/>
      <c r="J95" s="46"/>
      <c r="K95" s="47"/>
      <c r="L95" s="51">
        <f t="shared" ref="L95:N95" si="45">L98+L101</f>
        <v>0</v>
      </c>
      <c r="M95" s="51">
        <f t="shared" si="45"/>
        <v>0</v>
      </c>
      <c r="N95" s="51">
        <f t="shared" si="45"/>
        <v>0</v>
      </c>
      <c r="O95" s="51">
        <f t="shared" si="43"/>
        <v>0</v>
      </c>
      <c r="P95" s="51">
        <f t="shared" si="44"/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t="shared" ref="L96:N96" ca="1" si="46">L99+L102</f>
        <v>0</v>
      </c>
      <c r="M96" s="48">
        <f t="shared" ca="1" si="46"/>
        <v>0</v>
      </c>
      <c r="N96" s="48">
        <f t="shared" ca="1" si="46"/>
        <v>0</v>
      </c>
      <c r="O96" s="48">
        <f t="shared" ca="1" si="43"/>
        <v>0</v>
      </c>
      <c r="P96" s="48">
        <f t="shared" ca="1" si="44"/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t="shared" ref="L97:N97" ca="1" si="47">L98+L99</f>
        <v>0</v>
      </c>
      <c r="M97" s="48">
        <f t="shared" ca="1" si="47"/>
        <v>0</v>
      </c>
      <c r="N97" s="48">
        <f t="shared" ca="1" si="47"/>
        <v>0</v>
      </c>
      <c r="O97" s="48">
        <f t="shared" ca="1" si="43"/>
        <v>0</v>
      </c>
      <c r="P97" s="48">
        <f t="shared" ca="1" si="44"/>
        <v>0</v>
      </c>
    </row>
    <row r="98" spans="1:16" ht="18.75" hidden="1" x14ac:dyDescent="0.25">
      <c r="A98" s="137"/>
      <c r="B98" s="42"/>
      <c r="C98" s="42"/>
      <c r="D98" s="42"/>
      <c r="E98" s="49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 t="shared" si="43"/>
        <v>0</v>
      </c>
      <c r="P98" s="51">
        <f t="shared" si="44"/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IFERROR(__xludf.DUMMYFUNCTION("IMPORTRANGE(""https://docs.google.com/spreadsheets/d/1-uDff_7J0KD5mKrp0Vvzr7lt3OU09vwQwhkpOPPYv2Y/edit?usp=sharing"",""งบพรบ!AW75"")"),0)</f>
        <v>0</v>
      </c>
      <c r="M99" s="48">
        <f ca="1">IFERROR(__xludf.DUMMYFUNCTION("IMPORTRANGE(""https://docs.google.com/spreadsheets/d/1-uDff_7J0KD5mKrp0Vvzr7lt3OU09vwQwhkpOPPYv2Y/edit?usp=sharing"",""งบพรบ!BB75"")"),0)</f>
        <v>0</v>
      </c>
      <c r="N99" s="48">
        <f ca="1">IFERROR(__xludf.DUMMYFUNCTION("IMPORTRANGE(""https://docs.google.com/spreadsheets/d/1-uDff_7J0KD5mKrp0Vvzr7lt3OU09vwQwhkpOPPYv2Y/edit?usp=sharing"",""งบพรบ!BD75"")"),0)</f>
        <v>0</v>
      </c>
      <c r="O99" s="48">
        <f t="shared" ca="1" si="43"/>
        <v>0</v>
      </c>
      <c r="P99" s="48">
        <f t="shared" ca="1" si="44"/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t="shared" ref="L100:N100" ca="1" si="48">L101+L102</f>
        <v>0</v>
      </c>
      <c r="M100" s="48">
        <f t="shared" ca="1" si="48"/>
        <v>0</v>
      </c>
      <c r="N100" s="48">
        <f t="shared" ca="1" si="48"/>
        <v>0</v>
      </c>
      <c r="O100" s="48">
        <f t="shared" ca="1" si="43"/>
        <v>0</v>
      </c>
      <c r="P100" s="48">
        <f t="shared" ca="1" si="44"/>
        <v>0</v>
      </c>
    </row>
    <row r="101" spans="1:16" ht="18.75" hidden="1" x14ac:dyDescent="0.25">
      <c r="A101" s="137"/>
      <c r="B101" s="42"/>
      <c r="C101" s="42"/>
      <c r="D101" s="42"/>
      <c r="E101" s="49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 t="shared" si="43"/>
        <v>0</v>
      </c>
      <c r="P101" s="51">
        <f t="shared" si="44"/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IFERROR(__xludf.DUMMYFUNCTION("IMPORTRANGE(""https://docs.google.com/spreadsheets/d/1-uDff_7J0KD5mKrp0Vvzr7lt3OU09vwQwhkpOPPYv2Y/edit?usp=sharing"",""งบพรบ!AZ75"")"),0)</f>
        <v>0</v>
      </c>
      <c r="M102" s="48">
        <f ca="1">IFERROR(__xludf.DUMMYFUNCTION("IMPORTRANGE(""https://docs.google.com/spreadsheets/d/1-uDff_7J0KD5mKrp0Vvzr7lt3OU09vwQwhkpOPPYv2Y/edit?usp=sharing"",""งบพรบ!BC75"")"),0)</f>
        <v>0</v>
      </c>
      <c r="N102" s="48">
        <f ca="1">IFERROR(__xludf.DUMMYFUNCTION("IMPORTRANGE(""https://docs.google.com/spreadsheets/d/1-uDff_7J0KD5mKrp0Vvzr7lt3OU09vwQwhkpOPPYv2Y/edit?usp=sharing"",""งบพรบ!BE75"")"),0)</f>
        <v>0</v>
      </c>
      <c r="O102" s="48">
        <f t="shared" ca="1" si="43"/>
        <v>0</v>
      </c>
      <c r="P102" s="48">
        <f t="shared" ca="1" si="44"/>
        <v>0</v>
      </c>
    </row>
    <row r="103" spans="1:16" ht="19.5" hidden="1" x14ac:dyDescent="0.3">
      <c r="A103" s="149"/>
      <c r="B103" s="150"/>
      <c r="C103" s="138" t="s">
        <v>16</v>
      </c>
      <c r="D103" s="151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IFERROR(__xludf.DUMMYFUNCTION("IMPORTRANGE(""https://docs.google.com/spreadsheets/d/1eHaY18a8A9IcSdp1K8H6x8fbOy06t2VsZHhMHf-1x7Y/edit?usp=sharing"",""แผน!N75"")"),0)</f>
        <v>0</v>
      </c>
      <c r="J108" s="163">
        <v>0</v>
      </c>
      <c r="K108" s="48">
        <f t="shared" ref="K108:K109" ca="1" si="49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IFERROR(__xludf.DUMMYFUNCTION("IMPORTRANGE(""https://docs.google.com/spreadsheets/d/1eHaY18a8A9IcSdp1K8H6x8fbOy06t2VsZHhMHf-1x7Y/edit?usp=sharing"",""แผน!O75"")"),0)</f>
        <v>0</v>
      </c>
      <c r="J109" s="163">
        <v>0</v>
      </c>
      <c r="K109" s="48">
        <f t="shared" ca="1" si="49"/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161" t="s">
        <v>33</v>
      </c>
      <c r="I117" s="162">
        <f ca="1">IFERROR(__xludf.DUMMYFUNCTION("IMPORTRANGE(""https://docs.google.com/spreadsheets/d/1eHaY18a8A9IcSdp1K8H6x8fbOy06t2VsZHhMHf-1x7Y/edit?usp=sharing"",""แผน!R75"")"),0)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6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1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t="shared" ref="L125:N125" ca="1" si="50">L126+L127</f>
        <v>0</v>
      </c>
      <c r="M125" s="182">
        <f t="shared" ca="1" si="50"/>
        <v>0</v>
      </c>
      <c r="N125" s="182">
        <f t="shared" ca="1" si="50"/>
        <v>0</v>
      </c>
      <c r="O125" s="182">
        <f t="shared" ref="O125:O133" ca="1" si="51">IF(L125&gt;0,N125*100/L125,0)</f>
        <v>0</v>
      </c>
      <c r="P125" s="182">
        <f t="shared" ref="P125:P133" ca="1" si="52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 t="shared" ref="L126:N126" si="53">L129+L132</f>
        <v>0</v>
      </c>
      <c r="M126" s="185">
        <f t="shared" si="53"/>
        <v>0</v>
      </c>
      <c r="N126" s="185">
        <f t="shared" si="53"/>
        <v>0</v>
      </c>
      <c r="O126" s="185">
        <f t="shared" si="51"/>
        <v>0</v>
      </c>
      <c r="P126" s="185">
        <f t="shared" si="52"/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t="shared" ref="L127:N127" ca="1" si="54">L130+L133</f>
        <v>0</v>
      </c>
      <c r="M127" s="178">
        <f t="shared" ca="1" si="54"/>
        <v>0</v>
      </c>
      <c r="N127" s="178">
        <f t="shared" ca="1" si="54"/>
        <v>0</v>
      </c>
      <c r="O127" s="178">
        <f t="shared" ca="1" si="51"/>
        <v>0</v>
      </c>
      <c r="P127" s="178">
        <f t="shared" ca="1" si="52"/>
        <v>0</v>
      </c>
    </row>
    <row r="128" spans="1:16" ht="18.75" hidden="1" x14ac:dyDescent="0.25">
      <c r="A128" s="175"/>
      <c r="B128" s="17"/>
      <c r="C128" s="17"/>
      <c r="D128" s="188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t="shared" ref="L128:N128" ca="1" si="55">L129+L130</f>
        <v>0</v>
      </c>
      <c r="M128" s="178">
        <f t="shared" ca="1" si="55"/>
        <v>0</v>
      </c>
      <c r="N128" s="178">
        <f t="shared" ca="1" si="55"/>
        <v>0</v>
      </c>
      <c r="O128" s="178">
        <f t="shared" ca="1" si="51"/>
        <v>0</v>
      </c>
      <c r="P128" s="178">
        <f t="shared" ca="1" si="52"/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 t="shared" si="51"/>
        <v>0</v>
      </c>
      <c r="P129" s="185">
        <f t="shared" si="52"/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IFERROR(__xludf.DUMMYFUNCTION("IMPORTRANGE(""https://docs.google.com/spreadsheets/d/1-uDff_7J0KD5mKrp0Vvzr7lt3OU09vwQwhkpOPPYv2Y/edit?usp=sharing"",""งบพรบ!BG75"")"),0)</f>
        <v>0</v>
      </c>
      <c r="M130" s="178">
        <f ca="1">IFERROR(__xludf.DUMMYFUNCTION("IMPORTRANGE(""https://docs.google.com/spreadsheets/d/1-uDff_7J0KD5mKrp0Vvzr7lt3OU09vwQwhkpOPPYv2Y/edit?usp=sharing"",""งบพรบ!BL75"")"),0)</f>
        <v>0</v>
      </c>
      <c r="N130" s="178">
        <f ca="1">IFERROR(__xludf.DUMMYFUNCTION("IMPORTRANGE(""https://docs.google.com/spreadsheets/d/1-uDff_7J0KD5mKrp0Vvzr7lt3OU09vwQwhkpOPPYv2Y/edit?usp=sharing"",""งบพรบ!BN75"")"),0)</f>
        <v>0</v>
      </c>
      <c r="O130" s="178">
        <f t="shared" ca="1" si="51"/>
        <v>0</v>
      </c>
      <c r="P130" s="178">
        <f t="shared" ca="1" si="52"/>
        <v>0</v>
      </c>
    </row>
    <row r="131" spans="1:16" ht="18.75" hidden="1" x14ac:dyDescent="0.25">
      <c r="A131" s="175"/>
      <c r="B131" s="17"/>
      <c r="C131" s="17"/>
      <c r="D131" s="188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t="shared" ref="L131:N131" ca="1" si="56">L132+L133</f>
        <v>0</v>
      </c>
      <c r="M131" s="178">
        <f t="shared" ca="1" si="56"/>
        <v>0</v>
      </c>
      <c r="N131" s="178">
        <f t="shared" ca="1" si="56"/>
        <v>0</v>
      </c>
      <c r="O131" s="178">
        <f t="shared" ca="1" si="51"/>
        <v>0</v>
      </c>
      <c r="P131" s="178">
        <f t="shared" ca="1" si="52"/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 t="shared" si="51"/>
        <v>0</v>
      </c>
      <c r="P132" s="185">
        <f t="shared" si="52"/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IFERROR(__xludf.DUMMYFUNCTION("IMPORTRANGE(""https://docs.google.com/spreadsheets/d/1-uDff_7J0KD5mKrp0Vvzr7lt3OU09vwQwhkpOPPYv2Y/edit?usp=sharing"",""งบพรบ!BJ75"")"),0)</f>
        <v>0</v>
      </c>
      <c r="M133" s="178">
        <f ca="1">IFERROR(__xludf.DUMMYFUNCTION("IMPORTRANGE(""https://docs.google.com/spreadsheets/d/1-uDff_7J0KD5mKrp0Vvzr7lt3OU09vwQwhkpOPPYv2Y/edit?usp=sharing"",""งบพรบ!BM75"")"),0)</f>
        <v>0</v>
      </c>
      <c r="N133" s="178">
        <f ca="1">IFERROR(__xludf.DUMMYFUNCTION("IMPORTRANGE(""https://docs.google.com/spreadsheets/d/1-uDff_7J0KD5mKrp0Vvzr7lt3OU09vwQwhkpOPPYv2Y/edit?usp=sharing"",""งบพรบ!BO75"")"),0)</f>
        <v>0</v>
      </c>
      <c r="O133" s="178">
        <f t="shared" ca="1" si="51"/>
        <v>0</v>
      </c>
      <c r="P133" s="178">
        <f t="shared" ca="1" si="52"/>
        <v>0</v>
      </c>
    </row>
    <row r="134" spans="1:16" ht="19.5" hidden="1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hidden="1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hidden="1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t="shared" ref="I136:J136" ca="1" si="57">I154</f>
        <v>0</v>
      </c>
      <c r="J136" s="136">
        <f t="shared" si="57"/>
        <v>0</v>
      </c>
      <c r="K136" s="34">
        <f t="shared" ref="K136:K138" ca="1" si="58">IF(I136&gt;0,J136*100/I136,0)</f>
        <v>0</v>
      </c>
      <c r="L136" s="33"/>
      <c r="M136" s="33"/>
      <c r="N136" s="33"/>
      <c r="O136" s="33"/>
      <c r="P136" s="33"/>
    </row>
    <row r="137" spans="1:16" ht="19.5" hidden="1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t="shared" ref="I137:J137" ca="1" si="59">I152</f>
        <v>0</v>
      </c>
      <c r="J137" s="136">
        <f t="shared" si="59"/>
        <v>0</v>
      </c>
      <c r="K137" s="34">
        <f t="shared" ca="1" si="58"/>
        <v>0</v>
      </c>
      <c r="L137" s="33"/>
      <c r="M137" s="33"/>
      <c r="N137" s="33"/>
      <c r="O137" s="33"/>
      <c r="P137" s="33"/>
    </row>
    <row r="138" spans="1:16" ht="19.5" hidden="1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t="shared" ref="I138:J138" ca="1" si="60">I153</f>
        <v>0</v>
      </c>
      <c r="J138" s="136">
        <f t="shared" si="60"/>
        <v>0</v>
      </c>
      <c r="K138" s="34">
        <f t="shared" ca="1" si="58"/>
        <v>0</v>
      </c>
      <c r="L138" s="33"/>
      <c r="M138" s="33"/>
      <c r="N138" s="33"/>
      <c r="O138" s="33"/>
      <c r="P138" s="33"/>
    </row>
    <row r="139" spans="1:16" ht="19.5" hidden="1" x14ac:dyDescent="0.3">
      <c r="A139" s="137"/>
      <c r="B139" s="42"/>
      <c r="C139" s="138" t="s">
        <v>16</v>
      </c>
      <c r="D139" s="139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t="shared" ref="L139:N139" ca="1" si="61">L140+L141</f>
        <v>0</v>
      </c>
      <c r="M139" s="141">
        <f t="shared" ca="1" si="61"/>
        <v>0</v>
      </c>
      <c r="N139" s="141">
        <f t="shared" ca="1" si="61"/>
        <v>0</v>
      </c>
      <c r="O139" s="141">
        <f t="shared" ref="O139:O147" ca="1" si="62">IF(L139&gt;0,N139*100/L139,0)</f>
        <v>0</v>
      </c>
      <c r="P139" s="141">
        <f t="shared" ref="P139:P147" ca="1" si="63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49" t="s">
        <v>18</v>
      </c>
      <c r="F140" s="42"/>
      <c r="G140" s="44"/>
      <c r="H140" s="142" t="s">
        <v>12</v>
      </c>
      <c r="I140" s="46"/>
      <c r="J140" s="46"/>
      <c r="K140" s="47"/>
      <c r="L140" s="51">
        <f t="shared" ref="L140:N140" si="64">L143+L146</f>
        <v>0</v>
      </c>
      <c r="M140" s="51">
        <f t="shared" si="64"/>
        <v>0</v>
      </c>
      <c r="N140" s="51">
        <f t="shared" si="64"/>
        <v>0</v>
      </c>
      <c r="O140" s="51">
        <f t="shared" si="62"/>
        <v>0</v>
      </c>
      <c r="P140" s="51">
        <f t="shared" si="63"/>
        <v>0</v>
      </c>
    </row>
    <row r="141" spans="1:16" ht="18.75" hidden="1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t="shared" ref="L141:N141" ca="1" si="65">L144+L147</f>
        <v>0</v>
      </c>
      <c r="M141" s="48">
        <f t="shared" ca="1" si="65"/>
        <v>0</v>
      </c>
      <c r="N141" s="48">
        <f t="shared" ca="1" si="65"/>
        <v>0</v>
      </c>
      <c r="O141" s="48">
        <f t="shared" ca="1" si="62"/>
        <v>0</v>
      </c>
      <c r="P141" s="48">
        <f t="shared" ca="1" si="63"/>
        <v>0</v>
      </c>
    </row>
    <row r="142" spans="1:16" ht="18.75" hidden="1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t="shared" ref="L142:N142" ca="1" si="66">L143+L144</f>
        <v>0</v>
      </c>
      <c r="M142" s="48">
        <f t="shared" ca="1" si="66"/>
        <v>0</v>
      </c>
      <c r="N142" s="48">
        <f t="shared" ca="1" si="66"/>
        <v>0</v>
      </c>
      <c r="O142" s="48">
        <f t="shared" ca="1" si="62"/>
        <v>0</v>
      </c>
      <c r="P142" s="48">
        <f t="shared" ca="1" si="63"/>
        <v>0</v>
      </c>
    </row>
    <row r="143" spans="1:16" ht="18.75" hidden="1" x14ac:dyDescent="0.25">
      <c r="A143" s="137"/>
      <c r="B143" s="42"/>
      <c r="C143" s="42"/>
      <c r="D143" s="42"/>
      <c r="E143" s="49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 t="shared" si="62"/>
        <v>0</v>
      </c>
      <c r="P143" s="51">
        <f t="shared" si="63"/>
        <v>0</v>
      </c>
    </row>
    <row r="144" spans="1:16" ht="18.75" hidden="1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IFERROR(__xludf.DUMMYFUNCTION("IMPORTRANGE(""https://docs.google.com/spreadsheets/d/1-uDff_7J0KD5mKrp0Vvzr7lt3OU09vwQwhkpOPPYv2Y/edit?usp=sharing"",""งบพรบ!BQ75"")"),0)</f>
        <v>0</v>
      </c>
      <c r="M144" s="48">
        <f ca="1">IFERROR(__xludf.DUMMYFUNCTION("IMPORTRANGE(""https://docs.google.com/spreadsheets/d/1-uDff_7J0KD5mKrp0Vvzr7lt3OU09vwQwhkpOPPYv2Y/edit?usp=sharing"",""งบพรบ!BV75"")"),0)</f>
        <v>0</v>
      </c>
      <c r="N144" s="48">
        <f ca="1">IFERROR(__xludf.DUMMYFUNCTION("IMPORTRANGE(""https://docs.google.com/spreadsheets/d/1-uDff_7J0KD5mKrp0Vvzr7lt3OU09vwQwhkpOPPYv2Y/edit?usp=sharing"",""งบพรบ!BX75"")"),0)</f>
        <v>0</v>
      </c>
      <c r="O144" s="48">
        <f t="shared" ca="1" si="62"/>
        <v>0</v>
      </c>
      <c r="P144" s="48">
        <f t="shared" ca="1" si="63"/>
        <v>0</v>
      </c>
    </row>
    <row r="145" spans="1:16" ht="18.75" hidden="1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t="shared" ref="L145:N145" ca="1" si="67">L146+L147</f>
        <v>0</v>
      </c>
      <c r="M145" s="48">
        <f t="shared" ca="1" si="67"/>
        <v>0</v>
      </c>
      <c r="N145" s="48">
        <f t="shared" ca="1" si="67"/>
        <v>0</v>
      </c>
      <c r="O145" s="48">
        <f t="shared" ca="1" si="62"/>
        <v>0</v>
      </c>
      <c r="P145" s="48">
        <f t="shared" ca="1" si="63"/>
        <v>0</v>
      </c>
    </row>
    <row r="146" spans="1:16" ht="18.75" hidden="1" x14ac:dyDescent="0.25">
      <c r="A146" s="137"/>
      <c r="B146" s="42"/>
      <c r="C146" s="42"/>
      <c r="D146" s="42"/>
      <c r="E146" s="49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 t="shared" si="62"/>
        <v>0</v>
      </c>
      <c r="P146" s="51">
        <f t="shared" si="63"/>
        <v>0</v>
      </c>
    </row>
    <row r="147" spans="1:16" ht="18.75" hidden="1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IFERROR(__xludf.DUMMYFUNCTION("IMPORTRANGE(""https://docs.google.com/spreadsheets/d/1-uDff_7J0KD5mKrp0Vvzr7lt3OU09vwQwhkpOPPYv2Y/edit?usp=sharing"",""งบพรบ!BT75"")"),0)</f>
        <v>0</v>
      </c>
      <c r="M147" s="48">
        <f ca="1">IFERROR(__xludf.DUMMYFUNCTION("IMPORTRANGE(""https://docs.google.com/spreadsheets/d/1-uDff_7J0KD5mKrp0Vvzr7lt3OU09vwQwhkpOPPYv2Y/edit?usp=sharing"",""งบพรบ!BW75"")"),0)</f>
        <v>0</v>
      </c>
      <c r="N147" s="48">
        <f ca="1">IFERROR(__xludf.DUMMYFUNCTION("IMPORTRANGE(""https://docs.google.com/spreadsheets/d/1-uDff_7J0KD5mKrp0Vvzr7lt3OU09vwQwhkpOPPYv2Y/edit?usp=sharing"",""งบพรบ!BY75"")"),0)</f>
        <v>0</v>
      </c>
      <c r="O147" s="48">
        <f t="shared" ca="1" si="62"/>
        <v>0</v>
      </c>
      <c r="P147" s="48">
        <f t="shared" ca="1" si="63"/>
        <v>0</v>
      </c>
    </row>
    <row r="148" spans="1:16" ht="19.5" hidden="1" x14ac:dyDescent="0.3">
      <c r="A148" s="149"/>
      <c r="B148" s="150"/>
      <c r="C148" s="138" t="s">
        <v>16</v>
      </c>
      <c r="D148" s="151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hidden="1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hidden="1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IFERROR(__xludf.DUMMYFUNCTION("IMPORTRANGE(""https://docs.google.com/spreadsheets/d/1eHaY18a8A9IcSdp1K8H6x8fbOy06t2VsZHhMHf-1x7Y/edit?usp=sharing"",""แผน!U75"")"),0)</f>
        <v>0</v>
      </c>
      <c r="J150" s="163">
        <v>0</v>
      </c>
      <c r="K150" s="48">
        <f t="shared" ref="K150:K154" ca="1" si="68">IF(I150&gt;0,J150*100/I150,0)</f>
        <v>0</v>
      </c>
      <c r="L150" s="47"/>
      <c r="M150" s="47"/>
      <c r="N150" s="47"/>
      <c r="O150" s="47"/>
      <c r="P150" s="47"/>
    </row>
    <row r="151" spans="1:16" ht="18.75" hidden="1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IFERROR(__xludf.DUMMYFUNCTION("IMPORTRANGE(""https://docs.google.com/spreadsheets/d/1eHaY18a8A9IcSdp1K8H6x8fbOy06t2VsZHhMHf-1x7Y/edit?usp=sharing"",""แผน!V75"")"),0)</f>
        <v>0</v>
      </c>
      <c r="J151" s="163">
        <v>0</v>
      </c>
      <c r="K151" s="48">
        <f t="shared" ca="1" si="68"/>
        <v>0</v>
      </c>
      <c r="L151" s="47"/>
      <c r="M151" s="47"/>
      <c r="N151" s="47"/>
      <c r="O151" s="47"/>
      <c r="P151" s="47"/>
    </row>
    <row r="152" spans="1:16" ht="19.5" hidden="1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IFERROR(__xludf.DUMMYFUNCTION("IMPORTRANGE(""https://docs.google.com/spreadsheets/d/1eHaY18a8A9IcSdp1K8H6x8fbOy06t2VsZHhMHf-1x7Y/edit?usp=sharing"",""แผน!W75"")"),0)</f>
        <v>0</v>
      </c>
      <c r="J152" s="163">
        <v>0</v>
      </c>
      <c r="K152" s="48">
        <f t="shared" ca="1" si="68"/>
        <v>0</v>
      </c>
      <c r="L152" s="47"/>
      <c r="M152" s="47"/>
      <c r="N152" s="47"/>
      <c r="O152" s="47"/>
      <c r="P152" s="47"/>
    </row>
    <row r="153" spans="1:16" ht="18.75" hidden="1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IFERROR(__xludf.DUMMYFUNCTION("IMPORTRANGE(""https://docs.google.com/spreadsheets/d/1eHaY18a8A9IcSdp1K8H6x8fbOy06t2VsZHhMHf-1x7Y/edit?usp=sharing"",""แผน!X75"")"),0)</f>
        <v>0</v>
      </c>
      <c r="J153" s="163">
        <v>0</v>
      </c>
      <c r="K153" s="48">
        <f t="shared" ca="1" si="68"/>
        <v>0</v>
      </c>
      <c r="L153" s="47"/>
      <c r="M153" s="47"/>
      <c r="N153" s="47"/>
      <c r="O153" s="47"/>
      <c r="P153" s="47"/>
    </row>
    <row r="154" spans="1:16" ht="18.75" hidden="1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IFERROR(__xludf.DUMMYFUNCTION("IMPORTRANGE(""https://docs.google.com/spreadsheets/d/1eHaY18a8A9IcSdp1K8H6x8fbOy06t2VsZHhMHf-1x7Y/edit?usp=sharing"",""แผน!Y75"")"),0)</f>
        <v>0</v>
      </c>
      <c r="J154" s="163">
        <v>0</v>
      </c>
      <c r="K154" s="48">
        <f t="shared" ca="1" si="68"/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t="shared" ref="I156:J156" ca="1" si="69">I169</f>
        <v>0</v>
      </c>
      <c r="J156" s="136">
        <f t="shared" si="69"/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38" t="s">
        <v>16</v>
      </c>
      <c r="D157" s="139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t="shared" ref="L157:N157" ca="1" si="70">L158+L159</f>
        <v>0</v>
      </c>
      <c r="M157" s="141">
        <f t="shared" ca="1" si="70"/>
        <v>0</v>
      </c>
      <c r="N157" s="141">
        <f t="shared" ca="1" si="70"/>
        <v>0</v>
      </c>
      <c r="O157" s="141">
        <f t="shared" ref="O157:O165" ca="1" si="71">IF(L157&gt;0,N157*100/L157,0)</f>
        <v>0</v>
      </c>
      <c r="P157" s="141">
        <f t="shared" ref="P157:P165" ca="1" si="72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49" t="s">
        <v>18</v>
      </c>
      <c r="F158" s="42"/>
      <c r="G158" s="44"/>
      <c r="H158" s="142" t="s">
        <v>12</v>
      </c>
      <c r="I158" s="46"/>
      <c r="J158" s="46"/>
      <c r="K158" s="47"/>
      <c r="L158" s="51">
        <f t="shared" ref="L158:N158" si="73">L161+L164</f>
        <v>0</v>
      </c>
      <c r="M158" s="51">
        <f t="shared" si="73"/>
        <v>0</v>
      </c>
      <c r="N158" s="51">
        <f t="shared" si="73"/>
        <v>0</v>
      </c>
      <c r="O158" s="51">
        <f t="shared" si="71"/>
        <v>0</v>
      </c>
      <c r="P158" s="51">
        <f t="shared" si="72"/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t="shared" ref="L159:N159" ca="1" si="74">L162+L165</f>
        <v>0</v>
      </c>
      <c r="M159" s="48">
        <f t="shared" ca="1" si="74"/>
        <v>0</v>
      </c>
      <c r="N159" s="48">
        <f t="shared" ca="1" si="74"/>
        <v>0</v>
      </c>
      <c r="O159" s="48">
        <f t="shared" ca="1" si="71"/>
        <v>0</v>
      </c>
      <c r="P159" s="48">
        <f t="shared" ca="1" si="72"/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t="shared" ref="L160:N160" ca="1" si="75">L161+L162</f>
        <v>0</v>
      </c>
      <c r="M160" s="48">
        <f t="shared" ca="1" si="75"/>
        <v>0</v>
      </c>
      <c r="N160" s="48">
        <f t="shared" ca="1" si="75"/>
        <v>0</v>
      </c>
      <c r="O160" s="48">
        <f t="shared" ca="1" si="71"/>
        <v>0</v>
      </c>
      <c r="P160" s="48">
        <f t="shared" ca="1" si="72"/>
        <v>0</v>
      </c>
    </row>
    <row r="161" spans="1:16" ht="18.75" hidden="1" x14ac:dyDescent="0.25">
      <c r="A161" s="137"/>
      <c r="B161" s="42"/>
      <c r="C161" s="42"/>
      <c r="D161" s="42"/>
      <c r="E161" s="49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 t="shared" si="71"/>
        <v>0</v>
      </c>
      <c r="P161" s="51">
        <f t="shared" si="72"/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IFERROR(__xludf.DUMMYFUNCTION("IMPORTRANGE(""https://docs.google.com/spreadsheets/d/1-uDff_7J0KD5mKrp0Vvzr7lt3OU09vwQwhkpOPPYv2Y/edit?usp=sharing"",""งบพรบ!CA75"")"),0)</f>
        <v>0</v>
      </c>
      <c r="M162" s="48">
        <f ca="1">IFERROR(__xludf.DUMMYFUNCTION("IMPORTRANGE(""https://docs.google.com/spreadsheets/d/1-uDff_7J0KD5mKrp0Vvzr7lt3OU09vwQwhkpOPPYv2Y/edit?usp=sharing"",""งบพรบ!CF75"")"),0)</f>
        <v>0</v>
      </c>
      <c r="N162" s="48">
        <f ca="1">IFERROR(__xludf.DUMMYFUNCTION("IMPORTRANGE(""https://docs.google.com/spreadsheets/d/1-uDff_7J0KD5mKrp0Vvzr7lt3OU09vwQwhkpOPPYv2Y/edit?usp=sharing"",""งบพรบ!CH75"")"),0)</f>
        <v>0</v>
      </c>
      <c r="O162" s="48">
        <f t="shared" ca="1" si="71"/>
        <v>0</v>
      </c>
      <c r="P162" s="48">
        <f t="shared" ca="1" si="72"/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t="shared" ref="L163:N163" ca="1" si="76">L164+L165</f>
        <v>0</v>
      </c>
      <c r="M163" s="48">
        <f t="shared" ca="1" si="76"/>
        <v>0</v>
      </c>
      <c r="N163" s="48">
        <f t="shared" ca="1" si="76"/>
        <v>0</v>
      </c>
      <c r="O163" s="48">
        <f t="shared" ca="1" si="71"/>
        <v>0</v>
      </c>
      <c r="P163" s="48">
        <f t="shared" ca="1" si="72"/>
        <v>0</v>
      </c>
    </row>
    <row r="164" spans="1:16" ht="18.75" hidden="1" x14ac:dyDescent="0.25">
      <c r="A164" s="137"/>
      <c r="B164" s="42"/>
      <c r="C164" s="42"/>
      <c r="D164" s="42"/>
      <c r="E164" s="49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 t="shared" si="71"/>
        <v>0</v>
      </c>
      <c r="P164" s="51">
        <f t="shared" si="72"/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IFERROR(__xludf.DUMMYFUNCTION("IMPORTRANGE(""https://docs.google.com/spreadsheets/d/1-uDff_7J0KD5mKrp0Vvzr7lt3OU09vwQwhkpOPPYv2Y/edit?usp=sharing"",""งบพรบ!CD75"")"),0)</f>
        <v>0</v>
      </c>
      <c r="M165" s="48">
        <f ca="1">IFERROR(__xludf.DUMMYFUNCTION("IMPORTRANGE(""https://docs.google.com/spreadsheets/d/1-uDff_7J0KD5mKrp0Vvzr7lt3OU09vwQwhkpOPPYv2Y/edit?usp=sharing"",""งบพรบ!CG75"")"),0)</f>
        <v>0</v>
      </c>
      <c r="N165" s="48">
        <f ca="1">IFERROR(__xludf.DUMMYFUNCTION("IMPORTRANGE(""https://docs.google.com/spreadsheets/d/1-uDff_7J0KD5mKrp0Vvzr7lt3OU09vwQwhkpOPPYv2Y/edit?usp=sharing"",""งบพรบ!CI75"")"),0)</f>
        <v>0</v>
      </c>
      <c r="O165" s="48">
        <f t="shared" ca="1" si="71"/>
        <v>0</v>
      </c>
      <c r="P165" s="48">
        <f t="shared" ca="1" si="72"/>
        <v>0</v>
      </c>
    </row>
    <row r="166" spans="1:16" ht="19.5" hidden="1" x14ac:dyDescent="0.3">
      <c r="A166" s="149"/>
      <c r="B166" s="150"/>
      <c r="C166" s="138" t="s">
        <v>16</v>
      </c>
      <c r="D166" s="151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IFERROR(__xludf.DUMMYFUNCTION("IMPORTRANGE(""https://docs.google.com/spreadsheets/d/1eHaY18a8A9IcSdp1K8H6x8fbOy06t2VsZHhMHf-1x7Y/edit?usp=sharing"",""แผน!Z75"")"),0)</f>
        <v>0</v>
      </c>
      <c r="J167" s="163">
        <v>0</v>
      </c>
      <c r="K167" s="48">
        <f t="shared" ref="K167:K169" ca="1" si="77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49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IFERROR(__xludf.DUMMYFUNCTION("IMPORTRANGE(""https://docs.google.com/spreadsheets/d/1eHaY18a8A9IcSdp1K8H6x8fbOy06t2VsZHhMHf-1x7Y/edit?usp=sharing"",""แผน!Z75"")"),0)</f>
        <v>0</v>
      </c>
      <c r="J168" s="202">
        <v>0</v>
      </c>
      <c r="K168" s="51">
        <f t="shared" ca="1" si="77"/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IFERROR(__xludf.DUMMYFUNCTION("IMPORTRANGE(""https://docs.google.com/spreadsheets/d/1eHaY18a8A9IcSdp1K8H6x8fbOy06t2VsZHhMHf-1x7Y/edit?usp=sharing"",""แผน!Z75"")"),0)</f>
        <v>0</v>
      </c>
      <c r="J169" s="207">
        <v>0</v>
      </c>
      <c r="K169" s="208">
        <f t="shared" ca="1" si="77"/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t="shared" ref="I172:J172" ca="1" si="78">I183+I184</f>
        <v>7</v>
      </c>
      <c r="J172" s="225">
        <f t="shared" si="78"/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38" t="s">
        <v>16</v>
      </c>
      <c r="D173" s="139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t="shared" ref="L173:N173" ca="1" si="79">L174+L175</f>
        <v>19590</v>
      </c>
      <c r="M173" s="141">
        <f t="shared" ca="1" si="79"/>
        <v>19590</v>
      </c>
      <c r="N173" s="141">
        <f t="shared" ca="1" si="79"/>
        <v>17629</v>
      </c>
      <c r="O173" s="141">
        <f t="shared" ref="O173:O181" ca="1" si="80">IF(L173&gt;0,N173*100/L173,0)</f>
        <v>89.989790709545687</v>
      </c>
      <c r="P173" s="141">
        <f t="shared" ref="P173:P181" ca="1" si="81">IF(M173&gt;0,N173*100/M173,0)</f>
        <v>89.989790709545687</v>
      </c>
    </row>
    <row r="174" spans="1:16" ht="18.75" hidden="1" x14ac:dyDescent="0.25">
      <c r="A174" s="137"/>
      <c r="B174" s="42"/>
      <c r="C174" s="42"/>
      <c r="D174" s="42"/>
      <c r="E174" s="49" t="s">
        <v>18</v>
      </c>
      <c r="F174" s="42"/>
      <c r="G174" s="44"/>
      <c r="H174" s="142" t="s">
        <v>12</v>
      </c>
      <c r="I174" s="46"/>
      <c r="J174" s="46"/>
      <c r="K174" s="47"/>
      <c r="L174" s="51">
        <f t="shared" ref="L174:N174" si="82">L177+L180</f>
        <v>0</v>
      </c>
      <c r="M174" s="51">
        <f t="shared" si="82"/>
        <v>0</v>
      </c>
      <c r="N174" s="51">
        <f t="shared" si="82"/>
        <v>0</v>
      </c>
      <c r="O174" s="51">
        <f t="shared" si="80"/>
        <v>0</v>
      </c>
      <c r="P174" s="51">
        <f t="shared" si="81"/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t="shared" ref="L175:N175" ca="1" si="83">L178+L181</f>
        <v>19590</v>
      </c>
      <c r="M175" s="48">
        <f t="shared" ca="1" si="83"/>
        <v>19590</v>
      </c>
      <c r="N175" s="48">
        <f t="shared" ca="1" si="83"/>
        <v>17629</v>
      </c>
      <c r="O175" s="48">
        <f t="shared" ca="1" si="80"/>
        <v>89.989790709545687</v>
      </c>
      <c r="P175" s="48">
        <f t="shared" ca="1" si="81"/>
        <v>89.989790709545687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t="shared" ref="L176:N176" ca="1" si="84">L177+L178</f>
        <v>19590</v>
      </c>
      <c r="M176" s="48">
        <f t="shared" ca="1" si="84"/>
        <v>19590</v>
      </c>
      <c r="N176" s="48">
        <f t="shared" ca="1" si="84"/>
        <v>17629</v>
      </c>
      <c r="O176" s="48">
        <f t="shared" ca="1" si="80"/>
        <v>89.989790709545687</v>
      </c>
      <c r="P176" s="48">
        <f t="shared" ca="1" si="81"/>
        <v>89.989790709545687</v>
      </c>
    </row>
    <row r="177" spans="1:16" ht="18.75" hidden="1" x14ac:dyDescent="0.25">
      <c r="A177" s="137"/>
      <c r="B177" s="42"/>
      <c r="C177" s="42"/>
      <c r="D177" s="42"/>
      <c r="E177" s="49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 t="shared" si="80"/>
        <v>0</v>
      </c>
      <c r="P177" s="51">
        <f t="shared" si="81"/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IFERROR(__xludf.DUMMYFUNCTION("IMPORTRANGE(""https://docs.google.com/spreadsheets/d/1-uDff_7J0KD5mKrp0Vvzr7lt3OU09vwQwhkpOPPYv2Y/edit?usp=sharing"",""งบพรบ!CK75"")"),19590)</f>
        <v>19590</v>
      </c>
      <c r="M178" s="48">
        <f ca="1">IFERROR(__xludf.DUMMYFUNCTION("IMPORTRANGE(""https://docs.google.com/spreadsheets/d/1-uDff_7J0KD5mKrp0Vvzr7lt3OU09vwQwhkpOPPYv2Y/edit?usp=sharing"",""งบพรบ!CP75"")"),19590)</f>
        <v>19590</v>
      </c>
      <c r="N178" s="48">
        <f ca="1">IFERROR(__xludf.DUMMYFUNCTION("IMPORTRANGE(""https://docs.google.com/spreadsheets/d/1-uDff_7J0KD5mKrp0Vvzr7lt3OU09vwQwhkpOPPYv2Y/edit?usp=sharing"",""งบพรบ!CR75"")"),17629)</f>
        <v>17629</v>
      </c>
      <c r="O178" s="48">
        <f t="shared" ca="1" si="80"/>
        <v>89.989790709545687</v>
      </c>
      <c r="P178" s="48">
        <f t="shared" ca="1" si="81"/>
        <v>89.989790709545687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t="shared" ref="L179:N179" ca="1" si="85">L180+L181</f>
        <v>0</v>
      </c>
      <c r="M179" s="48">
        <f t="shared" ca="1" si="85"/>
        <v>0</v>
      </c>
      <c r="N179" s="48">
        <f t="shared" ca="1" si="85"/>
        <v>0</v>
      </c>
      <c r="O179" s="48">
        <f t="shared" ca="1" si="80"/>
        <v>0</v>
      </c>
      <c r="P179" s="48">
        <f t="shared" ca="1" si="81"/>
        <v>0</v>
      </c>
    </row>
    <row r="180" spans="1:16" ht="18.75" hidden="1" x14ac:dyDescent="0.25">
      <c r="A180" s="137"/>
      <c r="B180" s="42"/>
      <c r="C180" s="42"/>
      <c r="D180" s="42"/>
      <c r="E180" s="49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 t="shared" si="80"/>
        <v>0</v>
      </c>
      <c r="P180" s="51">
        <f t="shared" si="81"/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IFERROR(__xludf.DUMMYFUNCTION("IMPORTRANGE(""https://docs.google.com/spreadsheets/d/1-uDff_7J0KD5mKrp0Vvzr7lt3OU09vwQwhkpOPPYv2Y/edit?usp=sharing"",""งบพรบ!CN75"")"),0)</f>
        <v>0</v>
      </c>
      <c r="M181" s="48">
        <f ca="1">IFERROR(__xludf.DUMMYFUNCTION("IMPORTRANGE(""https://docs.google.com/spreadsheets/d/1-uDff_7J0KD5mKrp0Vvzr7lt3OU09vwQwhkpOPPYv2Y/edit?usp=sharing"",""งบพรบ!CQ75"")"),0)</f>
        <v>0</v>
      </c>
      <c r="N181" s="48">
        <f ca="1">IFERROR(__xludf.DUMMYFUNCTION("IMPORTRANGE(""https://docs.google.com/spreadsheets/d/1-uDff_7J0KD5mKrp0Vvzr7lt3OU09vwQwhkpOPPYv2Y/edit?usp=sharing"",""งบพรบ!CS75"")"),0)</f>
        <v>0</v>
      </c>
      <c r="O181" s="48">
        <f t="shared" ca="1" si="80"/>
        <v>0</v>
      </c>
      <c r="P181" s="48">
        <f t="shared" ca="1" si="81"/>
        <v>0</v>
      </c>
    </row>
    <row r="182" spans="1:16" ht="19.5" x14ac:dyDescent="0.3">
      <c r="A182" s="149"/>
      <c r="B182" s="150"/>
      <c r="C182" s="138" t="s">
        <v>16</v>
      </c>
      <c r="D182" s="151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IFERROR(__xludf.DUMMYFUNCTION("IMPORTRANGE(""https://docs.google.com/spreadsheets/d/1eHaY18a8A9IcSdp1K8H6x8fbOy06t2VsZHhMHf-1x7Y/edit?usp=sharing"",""แผน!AA75"")"),7)</f>
        <v>7</v>
      </c>
      <c r="J183" s="163">
        <v>0</v>
      </c>
      <c r="K183" s="48">
        <f t="shared" ref="K183:K185" ca="1" si="86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 t="shared" si="86"/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t="shared" ref="I185:J185" ca="1" si="87">I230+I231</f>
        <v>0</v>
      </c>
      <c r="J185" s="225">
        <f t="shared" si="87"/>
        <v>0</v>
      </c>
      <c r="K185" s="226">
        <f t="shared" ca="1" si="86"/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38" t="s">
        <v>16</v>
      </c>
      <c r="D186" s="139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t="shared" ref="L186:N186" ca="1" si="88">L187+L188</f>
        <v>136400</v>
      </c>
      <c r="M186" s="141">
        <f t="shared" ca="1" si="88"/>
        <v>91000</v>
      </c>
      <c r="N186" s="141">
        <f t="shared" ca="1" si="88"/>
        <v>10445</v>
      </c>
      <c r="O186" s="141">
        <f t="shared" ref="O186:O194" ca="1" si="89">IF(L186&gt;0,N186*100/L186,0)</f>
        <v>7.6576246334310847</v>
      </c>
      <c r="P186" s="141">
        <f t="shared" ref="P186:P194" ca="1" si="90">IF(M186&gt;0,N186*100/M186,0)</f>
        <v>11.478021978021978</v>
      </c>
    </row>
    <row r="187" spans="1:16" ht="18.75" hidden="1" x14ac:dyDescent="0.25">
      <c r="A187" s="137"/>
      <c r="B187" s="42"/>
      <c r="C187" s="42"/>
      <c r="D187" s="42"/>
      <c r="E187" s="49" t="s">
        <v>18</v>
      </c>
      <c r="F187" s="42"/>
      <c r="G187" s="44"/>
      <c r="H187" s="142" t="s">
        <v>12</v>
      </c>
      <c r="I187" s="46"/>
      <c r="J187" s="46"/>
      <c r="K187" s="47"/>
      <c r="L187" s="51">
        <f t="shared" ref="L187:N187" si="91">L190+L193</f>
        <v>0</v>
      </c>
      <c r="M187" s="51">
        <f t="shared" si="91"/>
        <v>0</v>
      </c>
      <c r="N187" s="51">
        <f t="shared" si="91"/>
        <v>0</v>
      </c>
      <c r="O187" s="51">
        <f t="shared" si="89"/>
        <v>0</v>
      </c>
      <c r="P187" s="51">
        <f t="shared" si="90"/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t="shared" ref="L188:N188" ca="1" si="92">L191+L194</f>
        <v>136400</v>
      </c>
      <c r="M188" s="48">
        <f t="shared" ca="1" si="92"/>
        <v>91000</v>
      </c>
      <c r="N188" s="48">
        <f t="shared" ca="1" si="92"/>
        <v>10445</v>
      </c>
      <c r="O188" s="48">
        <f t="shared" ca="1" si="89"/>
        <v>7.6576246334310847</v>
      </c>
      <c r="P188" s="48">
        <f t="shared" ca="1" si="90"/>
        <v>11.478021978021978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t="shared" ref="L189:N189" ca="1" si="93">L190+L191</f>
        <v>136400</v>
      </c>
      <c r="M189" s="48">
        <f t="shared" ca="1" si="93"/>
        <v>91000</v>
      </c>
      <c r="N189" s="48">
        <f t="shared" ca="1" si="93"/>
        <v>10445</v>
      </c>
      <c r="O189" s="48">
        <f t="shared" ca="1" si="89"/>
        <v>7.6576246334310847</v>
      </c>
      <c r="P189" s="48">
        <f t="shared" ca="1" si="90"/>
        <v>11.478021978021978</v>
      </c>
    </row>
    <row r="190" spans="1:16" ht="18.75" hidden="1" x14ac:dyDescent="0.25">
      <c r="A190" s="137"/>
      <c r="B190" s="42"/>
      <c r="C190" s="42"/>
      <c r="D190" s="42"/>
      <c r="E190" s="49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 t="shared" si="89"/>
        <v>0</v>
      </c>
      <c r="P190" s="51">
        <f t="shared" si="90"/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IFERROR(__xludf.DUMMYFUNCTION("IMPORTRANGE(""https://docs.google.com/spreadsheets/d/1-uDff_7J0KD5mKrp0Vvzr7lt3OU09vwQwhkpOPPYv2Y/edit?usp=sharing"",""งบพรบ!CU75"")"),136400)</f>
        <v>136400</v>
      </c>
      <c r="M191" s="48">
        <f ca="1">IFERROR(__xludf.DUMMYFUNCTION("IMPORTRANGE(""https://docs.google.com/spreadsheets/d/1-uDff_7J0KD5mKrp0Vvzr7lt3OU09vwQwhkpOPPYv2Y/edit?usp=sharing"",""งบพรบ!CZ75"")"),91000)</f>
        <v>91000</v>
      </c>
      <c r="N191" s="48">
        <f ca="1">IFERROR(__xludf.DUMMYFUNCTION("IMPORTRANGE(""https://docs.google.com/spreadsheets/d/1-uDff_7J0KD5mKrp0Vvzr7lt3OU09vwQwhkpOPPYv2Y/edit?usp=sharing"",""งบพรบ!DB75"")"),10445)</f>
        <v>10445</v>
      </c>
      <c r="O191" s="48">
        <f t="shared" ca="1" si="89"/>
        <v>7.6576246334310847</v>
      </c>
      <c r="P191" s="48">
        <f t="shared" ca="1" si="90"/>
        <v>11.478021978021978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t="shared" ref="L192:N192" ca="1" si="94">L193+L194</f>
        <v>0</v>
      </c>
      <c r="M192" s="48">
        <f t="shared" ca="1" si="94"/>
        <v>0</v>
      </c>
      <c r="N192" s="48">
        <f t="shared" ca="1" si="94"/>
        <v>0</v>
      </c>
      <c r="O192" s="48">
        <f t="shared" ca="1" si="89"/>
        <v>0</v>
      </c>
      <c r="P192" s="48">
        <f t="shared" ca="1" si="90"/>
        <v>0</v>
      </c>
    </row>
    <row r="193" spans="1:16" ht="18.75" hidden="1" x14ac:dyDescent="0.25">
      <c r="A193" s="137"/>
      <c r="B193" s="42"/>
      <c r="C193" s="42"/>
      <c r="D193" s="42"/>
      <c r="E193" s="49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 t="shared" si="89"/>
        <v>0</v>
      </c>
      <c r="P193" s="51">
        <f t="shared" si="90"/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IFERROR(__xludf.DUMMYFUNCTION("IMPORTRANGE(""https://docs.google.com/spreadsheets/d/1-uDff_7J0KD5mKrp0Vvzr7lt3OU09vwQwhkpOPPYv2Y/edit?usp=sharing"",""งบพรบ!CX75"")"),0)</f>
        <v>0</v>
      </c>
      <c r="M194" s="48">
        <f ca="1">IFERROR(__xludf.DUMMYFUNCTION("IMPORTRANGE(""https://docs.google.com/spreadsheets/d/1-uDff_7J0KD5mKrp0Vvzr7lt3OU09vwQwhkpOPPYv2Y/edit?usp=sharing"",""งบพรบ!DA75"")"),0)</f>
        <v>0</v>
      </c>
      <c r="N194" s="48">
        <f ca="1">IFERROR(__xludf.DUMMYFUNCTION("IMPORTRANGE(""https://docs.google.com/spreadsheets/d/1-uDff_7J0KD5mKrp0Vvzr7lt3OU09vwQwhkpOPPYv2Y/edit?usp=sharing"",""งบพรบ!DC75"")"),0)</f>
        <v>0</v>
      </c>
      <c r="O194" s="48">
        <f t="shared" ca="1" si="89"/>
        <v>0</v>
      </c>
      <c r="P194" s="48">
        <f t="shared" ca="1" si="90"/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t="shared" ref="I195:J195" ca="1" si="95">I198</f>
        <v>4</v>
      </c>
      <c r="J195" s="240">
        <f t="shared" si="95"/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38" t="s">
        <v>16</v>
      </c>
      <c r="D196" s="243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IFERROR(__xludf.DUMMYFUNCTION("IMPORTRANGE(""https://docs.google.com/spreadsheets/d/1eHaY18a8A9IcSdp1K8H6x8fbOy06t2VsZHhMHf-1x7Y/edit?usp=sharing"",""แผน!AB75"")"),6000)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38" t="s">
        <v>16</v>
      </c>
      <c r="D197" s="151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161" t="s">
        <v>73</v>
      </c>
      <c r="I198" s="170">
        <f ca="1">IFERROR(__xludf.DUMMYFUNCTION("IMPORTRANGE(""https://docs.google.com/spreadsheets/d/1eHaY18a8A9IcSdp1K8H6x8fbOy06t2VsZHhMHf-1x7Y/edit?usp=sharing"",""แผน!AE75"")"),4)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t="shared" ref="I202:J202" ca="1" si="96">I209</f>
        <v>3</v>
      </c>
      <c r="J202" s="240">
        <f t="shared" si="96"/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38" t="s">
        <v>16</v>
      </c>
      <c r="D203" s="243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39000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IFERROR(__xludf.DUMMYFUNCTION("IMPORTRANGE(""https://docs.google.com/spreadsheets/d/1eHaY18a8A9IcSdp1K8H6x8fbOy06t2VsZHhMHf-1x7Y/edit?usp=sharing"",""แผน!AG75"")"),3000)</f>
        <v>3000</v>
      </c>
      <c r="M204" s="47"/>
      <c r="N204" s="248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IFERROR(__xludf.DUMMYFUNCTION("IMPORTRANGE(""https://docs.google.com/spreadsheets/d/1eHaY18a8A9IcSdp1K8H6x8fbOy06t2VsZHhMHf-1x7Y/edit?usp=sharing"",""แผน!AH75"")"),0)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IFERROR(__xludf.DUMMYFUNCTION("IMPORTRANGE(""https://docs.google.com/spreadsheets/d/1eHaY18a8A9IcSdp1K8H6x8fbOy06t2VsZHhMHf-1x7Y/edit?usp=sharing"",""แผน!AI75"")"),24000)</f>
        <v>24000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IFERROR(__xludf.DUMMYFUNCTION("IMPORTRANGE(""https://docs.google.com/spreadsheets/d/1eHaY18a8A9IcSdp1K8H6x8fbOy06t2VsZHhMHf-1x7Y/edit?usp=sharing"",""แผน!AJ75"")"),12000)</f>
        <v>12000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38" t="s">
        <v>16</v>
      </c>
      <c r="D208" s="151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IFERROR(__xludf.DUMMYFUNCTION("IMPORTRANGE(""https://docs.google.com/spreadsheets/d/1eHaY18a8A9IcSdp1K8H6x8fbOy06t2VsZHhMHf-1x7Y/edit?usp=sharing"",""แผน!AK75"")"),3)</f>
        <v>3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IFERROR(__xludf.DUMMYFUNCTION("IMPORTRANGE(""https://docs.google.com/spreadsheets/d/1eHaY18a8A9IcSdp1K8H6x8fbOy06t2VsZHhMHf-1x7Y/edit?usp=sharing"",""แผน!AK75"")"),3)</f>
        <v>3</v>
      </c>
      <c r="J211" s="163">
        <v>0</v>
      </c>
      <c r="K211" s="164">
        <f t="shared" ref="K211:K213" ca="1" si="97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IFERROR(__xludf.DUMMYFUNCTION("IMPORTRANGE(""https://docs.google.com/spreadsheets/d/1eHaY18a8A9IcSdp1K8H6x8fbOy06t2VsZHhMHf-1x7Y/edit?usp=sharing"",""แผน!AK75"")"),3)</f>
        <v>3</v>
      </c>
      <c r="J212" s="163">
        <v>0</v>
      </c>
      <c r="K212" s="164">
        <f t="shared" ca="1" si="97"/>
        <v>0</v>
      </c>
      <c r="L212" s="47"/>
      <c r="M212" s="47"/>
      <c r="N212" s="47"/>
      <c r="O212" s="47"/>
      <c r="P212" s="47"/>
    </row>
    <row r="213" spans="1:16" ht="19.5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t="shared" ref="I213:J213" ca="1" si="98">I220</f>
        <v>0</v>
      </c>
      <c r="J213" s="240">
        <f t="shared" si="98"/>
        <v>0</v>
      </c>
      <c r="K213" s="241">
        <f t="shared" ca="1" si="97"/>
        <v>0</v>
      </c>
      <c r="L213" s="242"/>
      <c r="M213" s="242"/>
      <c r="N213" s="242"/>
      <c r="O213" s="242"/>
      <c r="P213" s="242"/>
    </row>
    <row r="214" spans="1:16" ht="19.5" x14ac:dyDescent="0.3">
      <c r="A214" s="137"/>
      <c r="B214" s="42"/>
      <c r="C214" s="138" t="s">
        <v>16</v>
      </c>
      <c r="D214" s="243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IFERROR(__xludf.DUMMYFUNCTION("IMPORTRANGE(""https://docs.google.com/spreadsheets/d/1eHaY18a8A9IcSdp1K8H6x8fbOy06t2VsZHhMHf-1x7Y/edit?usp=sharing"",""แผน!AM75"")"),0)</f>
        <v>0</v>
      </c>
      <c r="M215" s="47"/>
      <c r="N215" s="249">
        <v>0</v>
      </c>
      <c r="O215" s="146"/>
      <c r="P215" s="47"/>
    </row>
    <row r="216" spans="1:16" ht="18.75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IFERROR(__xludf.DUMMYFUNCTION("IMPORTRANGE(""https://docs.google.com/spreadsheets/d/1eHaY18a8A9IcSdp1K8H6x8fbOy06t2VsZHhMHf-1x7Y/edit?usp=sharing"",""แผน!AN75"")"),0)</f>
        <v>0</v>
      </c>
      <c r="M216" s="47"/>
      <c r="N216" s="249">
        <v>0</v>
      </c>
      <c r="O216" s="146"/>
      <c r="P216" s="47"/>
    </row>
    <row r="217" spans="1:16" ht="18.75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IFERROR(__xludf.DUMMYFUNCTION("IMPORTRANGE(""https://docs.google.com/spreadsheets/d/1eHaY18a8A9IcSdp1K8H6x8fbOy06t2VsZHhMHf-1x7Y/edit?usp=sharing"",""แผน!AO75"")"),0)</f>
        <v>0</v>
      </c>
      <c r="M217" s="47"/>
      <c r="N217" s="249">
        <v>0</v>
      </c>
      <c r="O217" s="146"/>
      <c r="P217" s="47"/>
    </row>
    <row r="218" spans="1:16" ht="19.5" x14ac:dyDescent="0.3">
      <c r="A218" s="149"/>
      <c r="B218" s="150"/>
      <c r="C218" s="252" t="s">
        <v>16</v>
      </c>
      <c r="D218" s="151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IFERROR(__xludf.DUMMYFUNCTION("IMPORTRANGE(""https://docs.google.com/spreadsheets/d/1eHaY18a8A9IcSdp1K8H6x8fbOy06t2VsZHhMHf-1x7Y/edit?usp=sharing"",""แผน!AP75"")"),0)</f>
        <v>0</v>
      </c>
      <c r="J219" s="163">
        <v>0</v>
      </c>
      <c r="K219" s="48">
        <f t="shared" ref="K219:K221" ca="1" si="99">IF(I219&gt;0,J219*100/I219,0)</f>
        <v>0</v>
      </c>
      <c r="L219" s="47"/>
      <c r="M219" s="47"/>
      <c r="N219" s="47"/>
      <c r="O219" s="47"/>
      <c r="P219" s="47"/>
    </row>
    <row r="220" spans="1:16" ht="18.75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IFERROR(__xludf.DUMMYFUNCTION("IMPORTRANGE(""https://docs.google.com/spreadsheets/d/1eHaY18a8A9IcSdp1K8H6x8fbOy06t2VsZHhMHf-1x7Y/edit?usp=sharing"",""แผน!AP75"")"),0)</f>
        <v>0</v>
      </c>
      <c r="J220" s="163">
        <v>0</v>
      </c>
      <c r="K220" s="48">
        <f t="shared" ca="1" si="99"/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t="shared" ref="I221:J221" ca="1" si="100">I229</f>
        <v>50000</v>
      </c>
      <c r="J221" s="240">
        <f t="shared" si="100"/>
        <v>0</v>
      </c>
      <c r="K221" s="241">
        <f t="shared" ca="1" si="99"/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38" t="s">
        <v>16</v>
      </c>
      <c r="D222" s="243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8500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IFERROR(__xludf.DUMMYFUNCTION("IMPORTRANGE(""https://docs.google.com/spreadsheets/d/1eHaY18a8A9IcSdp1K8H6x8fbOy06t2VsZHhMHf-1x7Y/edit?usp=sharing"",""แผน!AR75"")"),7000)</f>
        <v>7000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IFERROR(__xludf.DUMMYFUNCTION("IMPORTRANGE(""https://docs.google.com/spreadsheets/d/1eHaY18a8A9IcSdp1K8H6x8fbOy06t2VsZHhMHf-1x7Y/edit?usp=sharing"",""แผน!AS75"")"),1500)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IFERROR(__xludf.DUMMYFUNCTION("IMPORTRANGE(""https://docs.google.com/spreadsheets/d/1eHaY18a8A9IcSdp1K8H6x8fbOy06t2VsZHhMHf-1x7Y/edit?usp=sharing"",""แผน!AT75"")"),0)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151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161" t="s">
        <v>94</v>
      </c>
      <c r="I228" s="170">
        <f ca="1">IFERROR(__xludf.DUMMYFUNCTION("IMPORTRANGE(""https://docs.google.com/spreadsheets/d/1eHaY18a8A9IcSdp1K8H6x8fbOy06t2VsZHhMHf-1x7Y/edit?usp=sharing"",""แผน!AV75"")"),50000)</f>
        <v>50000</v>
      </c>
      <c r="J228" s="163">
        <v>0</v>
      </c>
      <c r="K228" s="164">
        <f t="shared" ref="K228:K231" ca="1" si="10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161" t="s">
        <v>94</v>
      </c>
      <c r="I229" s="170">
        <f ca="1">IFERROR(__xludf.DUMMYFUNCTION("IMPORTRANGE(""https://docs.google.com/spreadsheets/d/1eHaY18a8A9IcSdp1K8H6x8fbOy06t2VsZHhMHf-1x7Y/edit?usp=sharing"",""แผน!AV75"")"),50000)</f>
        <v>50000</v>
      </c>
      <c r="J229" s="163">
        <v>0</v>
      </c>
      <c r="K229" s="164">
        <f t="shared" ca="1" si="101"/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161" t="s">
        <v>33</v>
      </c>
      <c r="I230" s="170">
        <f ca="1">IFERROR(__xludf.DUMMYFUNCTION("IMPORTRANGE(""https://docs.google.com/spreadsheets/d/1eHaY18a8A9IcSdp1K8H6x8fbOy06t2VsZHhMHf-1x7Y/edit?usp=sharing"",""แผน!AU75"")"),0)</f>
        <v>0</v>
      </c>
      <c r="J230" s="163">
        <v>0</v>
      </c>
      <c r="K230" s="164">
        <f t="shared" ca="1" si="101"/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t="shared" ref="I231:J231" ca="1" si="102">I242+I253</f>
        <v>0</v>
      </c>
      <c r="J231" s="259">
        <f t="shared" si="102"/>
        <v>0</v>
      </c>
      <c r="K231" s="260">
        <f t="shared" ca="1" si="101"/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t="shared" ref="L232:L236" ca="1" si="103">L243+L254</f>
        <v>0</v>
      </c>
      <c r="M232" s="271"/>
      <c r="N232" s="270">
        <f t="shared" ref="N232:N236" si="104"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49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t="shared" ca="1" si="103"/>
        <v>0</v>
      </c>
      <c r="M233" s="271"/>
      <c r="N233" s="51">
        <f t="shared" si="104"/>
        <v>0</v>
      </c>
      <c r="O233" s="271"/>
      <c r="P233" s="271"/>
    </row>
    <row r="234" spans="1:16" ht="18.75" hidden="1" x14ac:dyDescent="0.25">
      <c r="A234" s="273"/>
      <c r="B234" s="272"/>
      <c r="C234" s="272"/>
      <c r="D234" s="49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t="shared" ca="1" si="103"/>
        <v>0</v>
      </c>
      <c r="M234" s="271"/>
      <c r="N234" s="51">
        <f t="shared" si="104"/>
        <v>0</v>
      </c>
      <c r="O234" s="271"/>
      <c r="P234" s="271"/>
    </row>
    <row r="235" spans="1:16" ht="18.75" hidden="1" x14ac:dyDescent="0.25">
      <c r="A235" s="273"/>
      <c r="B235" s="272"/>
      <c r="C235" s="272"/>
      <c r="D235" s="49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t="shared" ca="1" si="103"/>
        <v>0</v>
      </c>
      <c r="M235" s="271"/>
      <c r="N235" s="51">
        <f t="shared" si="104"/>
        <v>0</v>
      </c>
      <c r="O235" s="271"/>
      <c r="P235" s="271"/>
    </row>
    <row r="236" spans="1:16" ht="18.75" hidden="1" x14ac:dyDescent="0.25">
      <c r="A236" s="273"/>
      <c r="B236" s="272"/>
      <c r="C236" s="272"/>
      <c r="D236" s="49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t="shared" ca="1" si="103"/>
        <v>0</v>
      </c>
      <c r="M236" s="271"/>
      <c r="N236" s="51">
        <f t="shared" si="104"/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278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t="shared" ref="I238:J238" ca="1" si="105">I249+I260</f>
        <v>0</v>
      </c>
      <c r="J238" s="201">
        <f t="shared" si="105"/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 t="shared" ref="I240:J240" si="106">I251+I262</f>
        <v>0</v>
      </c>
      <c r="J240" s="201">
        <f t="shared" si="106"/>
        <v>0</v>
      </c>
      <c r="K240" s="51">
        <f t="shared" ref="K240:K242" si="107"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 t="shared" ref="I241:J241" si="108">I252+I263</f>
        <v>0</v>
      </c>
      <c r="J241" s="201">
        <f t="shared" si="108"/>
        <v>0</v>
      </c>
      <c r="K241" s="51">
        <f t="shared" si="107"/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t="shared" ref="I242:J242" ca="1" si="109">I249</f>
        <v>0</v>
      </c>
      <c r="J242" s="259">
        <f t="shared" si="109"/>
        <v>0</v>
      </c>
      <c r="K242" s="260">
        <f t="shared" ca="1" si="107"/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49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IFERROR(__xludf.DUMMYFUNCTION("IMPORTRANGE(""https://docs.google.com/spreadsheets/d/1eHaY18a8A9IcSdp1K8H6x8fbOy06t2VsZHhMHf-1x7Y/edit?usp=sharing"",""แผน!AX75"")"),0)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49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IFERROR(__xludf.DUMMYFUNCTION("IMPORTRANGE(""https://docs.google.com/spreadsheets/d/1eHaY18a8A9IcSdp1K8H6x8fbOy06t2VsZHhMHf-1x7Y/edit?usp=sharing"",""แผน!AY75"")"),0)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49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IFERROR(__xludf.DUMMYFUNCTION("IMPORTRANGE(""https://docs.google.com/spreadsheets/d/1eHaY18a8A9IcSdp1K8H6x8fbOy06t2VsZHhMHf-1x7Y/edit?usp=sharing"",""แผน!AZ75"")"),0)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49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IFERROR(__xludf.DUMMYFUNCTION("IMPORTRANGE(""https://docs.google.com/spreadsheets/d/1eHaY18a8A9IcSdp1K8H6x8fbOy06t2VsZHhMHf-1x7Y/edit?usp=sharing"",""แผน!BA75"")"),0)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278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IFERROR(__xludf.DUMMYFUNCTION("IMPORTRANGE(""https://docs.google.com/spreadsheets/d/1eHaY18a8A9IcSdp1K8H6x8fbOy06t2VsZHhMHf-1x7Y/edit?usp=sharing"",""แผน!BG75"")"),0)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 t="shared" ref="K251:K253" si="110"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 t="shared" si="110"/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t="shared" ref="I253:J253" ca="1" si="111">I260</f>
        <v>0</v>
      </c>
      <c r="J253" s="259">
        <f t="shared" si="111"/>
        <v>0</v>
      </c>
      <c r="K253" s="260">
        <f t="shared" ca="1" si="110"/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288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49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IFERROR(__xludf.DUMMYFUNCTION("IMPORTRANGE(""https://docs.google.com/spreadsheets/d/1eHaY18a8A9IcSdp1K8H6x8fbOy06t2VsZHhMHf-1x7Y/edit?usp=sharing"",""แผน!BB75"")"),0)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49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IFERROR(__xludf.DUMMYFUNCTION("IMPORTRANGE(""https://docs.google.com/spreadsheets/d/1eHaY18a8A9IcSdp1K8H6x8fbOy06t2VsZHhMHf-1x7Y/edit?usp=sharing"",""แผน!BC75"")"),0)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49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IFERROR(__xludf.DUMMYFUNCTION("IMPORTRANGE(""https://docs.google.com/spreadsheets/d/1eHaY18a8A9IcSdp1K8H6x8fbOy06t2VsZHhMHf-1x7Y/edit?usp=sharing"",""แผน!BD75"")"),0)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49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IFERROR(__xludf.DUMMYFUNCTION("IMPORTRANGE(""https://docs.google.com/spreadsheets/d/1eHaY18a8A9IcSdp1K8H6x8fbOy06t2VsZHhMHf-1x7Y/edit?usp=sharing"",""แผน!BE75"")"),0)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278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IFERROR(__xludf.DUMMYFUNCTION("IMPORTRANGE(""https://docs.google.com/spreadsheets/d/1eHaY18a8A9IcSdp1K8H6x8fbOy06t2VsZHhMHf-1x7Y/edit?usp=sharing"",""แผน!BH75"")"),0)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 t="shared" ref="K262:K263" si="112"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 t="shared" si="112"/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 t="shared" ref="I265:J265" si="113">I276</f>
        <v>0</v>
      </c>
      <c r="J265" s="292">
        <f t="shared" si="113"/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t="shared" ref="L266:N266" ca="1" si="114">L267+L268</f>
        <v>0</v>
      </c>
      <c r="M266" s="270">
        <f t="shared" ca="1" si="114"/>
        <v>0</v>
      </c>
      <c r="N266" s="270">
        <f t="shared" ca="1" si="114"/>
        <v>0</v>
      </c>
      <c r="O266" s="270">
        <f t="shared" ref="O266:O274" ca="1" si="115">IF(L266&gt;0,N266*100/L266,0)</f>
        <v>0</v>
      </c>
      <c r="P266" s="270">
        <f t="shared" ref="P266:P274" ca="1" si="116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49" t="s">
        <v>18</v>
      </c>
      <c r="F267" s="42"/>
      <c r="G267" s="44"/>
      <c r="H267" s="142" t="s">
        <v>12</v>
      </c>
      <c r="I267" s="46"/>
      <c r="J267" s="46"/>
      <c r="K267" s="47"/>
      <c r="L267" s="51">
        <f t="shared" ref="L267:N267" si="117">L270+L273</f>
        <v>0</v>
      </c>
      <c r="M267" s="51">
        <f t="shared" si="117"/>
        <v>0</v>
      </c>
      <c r="N267" s="51">
        <f t="shared" si="117"/>
        <v>0</v>
      </c>
      <c r="O267" s="51">
        <f t="shared" si="115"/>
        <v>0</v>
      </c>
      <c r="P267" s="51">
        <f t="shared" si="116"/>
        <v>0</v>
      </c>
    </row>
    <row r="268" spans="1:16" ht="18.75" hidden="1" x14ac:dyDescent="0.25">
      <c r="A268" s="137"/>
      <c r="B268" s="42"/>
      <c r="C268" s="42"/>
      <c r="D268" s="42"/>
      <c r="E268" s="49" t="s">
        <v>19</v>
      </c>
      <c r="F268" s="42"/>
      <c r="G268" s="44"/>
      <c r="H268" s="142" t="s">
        <v>12</v>
      </c>
      <c r="I268" s="46"/>
      <c r="J268" s="46"/>
      <c r="K268" s="47"/>
      <c r="L268" s="51">
        <f t="shared" ref="L268:N268" ca="1" si="118">L271+L274</f>
        <v>0</v>
      </c>
      <c r="M268" s="51">
        <f t="shared" ca="1" si="118"/>
        <v>0</v>
      </c>
      <c r="N268" s="51">
        <f t="shared" ca="1" si="118"/>
        <v>0</v>
      </c>
      <c r="O268" s="51">
        <f t="shared" ca="1" si="115"/>
        <v>0</v>
      </c>
      <c r="P268" s="51">
        <f t="shared" ca="1" si="116"/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t="shared" ref="L269:N269" ca="1" si="119">L270+L271</f>
        <v>0</v>
      </c>
      <c r="M269" s="51">
        <f t="shared" ca="1" si="119"/>
        <v>0</v>
      </c>
      <c r="N269" s="51">
        <f t="shared" ca="1" si="119"/>
        <v>0</v>
      </c>
      <c r="O269" s="51">
        <f t="shared" ca="1" si="115"/>
        <v>0</v>
      </c>
      <c r="P269" s="51">
        <f t="shared" ca="1" si="116"/>
        <v>0</v>
      </c>
    </row>
    <row r="270" spans="1:16" ht="18.75" hidden="1" x14ac:dyDescent="0.25">
      <c r="A270" s="137"/>
      <c r="B270" s="42"/>
      <c r="C270" s="42"/>
      <c r="D270" s="42"/>
      <c r="E270" s="49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 t="shared" si="115"/>
        <v>0</v>
      </c>
      <c r="P270" s="51">
        <f t="shared" si="116"/>
        <v>0</v>
      </c>
    </row>
    <row r="271" spans="1:16" ht="18.75" hidden="1" x14ac:dyDescent="0.25">
      <c r="A271" s="137"/>
      <c r="B271" s="42"/>
      <c r="C271" s="42"/>
      <c r="D271" s="42"/>
      <c r="E271" s="49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IFERROR(__xludf.DUMMYFUNCTION("IMPORTRANGE(""https://docs.google.com/spreadsheets/d/1-uDff_7J0KD5mKrp0Vvzr7lt3OU09vwQwhkpOPPYv2Y/edit?usp=sharing"",""งบพรบ!DE75"")"),0)</f>
        <v>0</v>
      </c>
      <c r="M271" s="51">
        <f ca="1">IFERROR(__xludf.DUMMYFUNCTION("IMPORTRANGE(""https://docs.google.com/spreadsheets/d/1-uDff_7J0KD5mKrp0Vvzr7lt3OU09vwQwhkpOPPYv2Y/edit?usp=sharing"",""งบพรบ!DJ75"")"),0)</f>
        <v>0</v>
      </c>
      <c r="N271" s="51">
        <f ca="1">IFERROR(__xludf.DUMMYFUNCTION("IMPORTRANGE(""https://docs.google.com/spreadsheets/d/1-uDff_7J0KD5mKrp0Vvzr7lt3OU09vwQwhkpOPPYv2Y/edit?usp=sharing"",""งบพรบ!DL75"")"),0)</f>
        <v>0</v>
      </c>
      <c r="O271" s="51">
        <f t="shared" ca="1" si="115"/>
        <v>0</v>
      </c>
      <c r="P271" s="51">
        <f t="shared" ca="1" si="116"/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t="shared" ref="L272:N272" ca="1" si="120">L273+L274</f>
        <v>0</v>
      </c>
      <c r="M272" s="51">
        <f t="shared" ca="1" si="120"/>
        <v>0</v>
      </c>
      <c r="N272" s="51">
        <f t="shared" ca="1" si="120"/>
        <v>0</v>
      </c>
      <c r="O272" s="51">
        <f t="shared" ca="1" si="115"/>
        <v>0</v>
      </c>
      <c r="P272" s="51">
        <f t="shared" ca="1" si="116"/>
        <v>0</v>
      </c>
    </row>
    <row r="273" spans="1:16" ht="18.75" hidden="1" x14ac:dyDescent="0.25">
      <c r="A273" s="137"/>
      <c r="B273" s="42"/>
      <c r="C273" s="42"/>
      <c r="D273" s="42"/>
      <c r="E273" s="49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 t="shared" si="115"/>
        <v>0</v>
      </c>
      <c r="P273" s="51">
        <f t="shared" si="116"/>
        <v>0</v>
      </c>
    </row>
    <row r="274" spans="1:16" ht="18.75" hidden="1" x14ac:dyDescent="0.25">
      <c r="A274" s="137"/>
      <c r="B274" s="42"/>
      <c r="C274" s="42"/>
      <c r="D274" s="42"/>
      <c r="E274" s="49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IFERROR(__xludf.DUMMYFUNCTION("IMPORTRANGE(""https://docs.google.com/spreadsheets/d/1-uDff_7J0KD5mKrp0Vvzr7lt3OU09vwQwhkpOPPYv2Y/edit?usp=sharing"",""งบพรบ!DH75"")"),0)</f>
        <v>0</v>
      </c>
      <c r="M274" s="51">
        <f ca="1">IFERROR(__xludf.DUMMYFUNCTION("IMPORTRANGE(""https://docs.google.com/spreadsheets/d/1-uDff_7J0KD5mKrp0Vvzr7lt3OU09vwQwhkpOPPYv2Y/edit?usp=sharing"",""งบพรบ!DK75"")"),0)</f>
        <v>0</v>
      </c>
      <c r="N274" s="51">
        <f ca="1">IFERROR(__xludf.DUMMYFUNCTION("IMPORTRANGE(""https://docs.google.com/spreadsheets/d/1-uDff_7J0KD5mKrp0Vvzr7lt3OU09vwQwhkpOPPYv2Y/edit?usp=sharing"",""งบพรบ!DM75"")"),0)</f>
        <v>0</v>
      </c>
      <c r="O274" s="51">
        <f t="shared" ca="1" si="115"/>
        <v>0</v>
      </c>
      <c r="P274" s="51">
        <f t="shared" ca="1" si="116"/>
        <v>0</v>
      </c>
    </row>
    <row r="275" spans="1:16" ht="19.5" hidden="1" x14ac:dyDescent="0.3">
      <c r="A275" s="149"/>
      <c r="B275" s="150"/>
      <c r="C275" s="296" t="s">
        <v>16</v>
      </c>
      <c r="D275" s="278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t="shared" ref="I280:J280" ca="1" si="121">I293</f>
        <v>0</v>
      </c>
      <c r="J280" s="323">
        <f t="shared" si="121"/>
        <v>0</v>
      </c>
      <c r="K280" s="324">
        <f t="shared" ref="K280:K281" ca="1" si="122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t="shared" ref="I281:J281" ca="1" si="123">I292</f>
        <v>0</v>
      </c>
      <c r="J281" s="323">
        <f t="shared" si="123"/>
        <v>0</v>
      </c>
      <c r="K281" s="324">
        <f t="shared" ca="1" si="122"/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38" t="s">
        <v>16</v>
      </c>
      <c r="D282" s="139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t="shared" ref="L282:N282" ca="1" si="124">L283+L284</f>
        <v>0</v>
      </c>
      <c r="M282" s="141">
        <f t="shared" ca="1" si="124"/>
        <v>0</v>
      </c>
      <c r="N282" s="141">
        <f t="shared" ca="1" si="124"/>
        <v>0</v>
      </c>
      <c r="O282" s="141">
        <f t="shared" ref="O282:O290" ca="1" si="125">IF(L282&gt;0,N282*100/L282,0)</f>
        <v>0</v>
      </c>
      <c r="P282" s="141">
        <f t="shared" ref="P282:P290" ca="1" si="126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49" t="s">
        <v>18</v>
      </c>
      <c r="F283" s="42"/>
      <c r="G283" s="44"/>
      <c r="H283" s="142" t="s">
        <v>12</v>
      </c>
      <c r="I283" s="46"/>
      <c r="J283" s="46"/>
      <c r="K283" s="47"/>
      <c r="L283" s="51">
        <f t="shared" ref="L283:N283" si="127">L286+L289</f>
        <v>0</v>
      </c>
      <c r="M283" s="51">
        <f t="shared" si="127"/>
        <v>0</v>
      </c>
      <c r="N283" s="51">
        <f t="shared" si="127"/>
        <v>0</v>
      </c>
      <c r="O283" s="51">
        <f t="shared" si="125"/>
        <v>0</v>
      </c>
      <c r="P283" s="51">
        <f t="shared" si="126"/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t="shared" ref="L284:N284" ca="1" si="128">L287+L290</f>
        <v>0</v>
      </c>
      <c r="M284" s="48">
        <f t="shared" ca="1" si="128"/>
        <v>0</v>
      </c>
      <c r="N284" s="48">
        <f t="shared" ca="1" si="128"/>
        <v>0</v>
      </c>
      <c r="O284" s="48">
        <f t="shared" ca="1" si="125"/>
        <v>0</v>
      </c>
      <c r="P284" s="48">
        <f t="shared" ca="1" si="126"/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t="shared" ref="L285:N285" ca="1" si="129">L286+L287</f>
        <v>0</v>
      </c>
      <c r="M285" s="48">
        <f t="shared" ca="1" si="129"/>
        <v>0</v>
      </c>
      <c r="N285" s="48">
        <f t="shared" ca="1" si="129"/>
        <v>0</v>
      </c>
      <c r="O285" s="48">
        <f t="shared" ca="1" si="125"/>
        <v>0</v>
      </c>
      <c r="P285" s="48">
        <f t="shared" ca="1" si="126"/>
        <v>0</v>
      </c>
    </row>
    <row r="286" spans="1:16" ht="18.75" hidden="1" x14ac:dyDescent="0.25">
      <c r="A286" s="137"/>
      <c r="B286" s="42"/>
      <c r="C286" s="42"/>
      <c r="D286" s="42"/>
      <c r="E286" s="49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 t="shared" si="125"/>
        <v>0</v>
      </c>
      <c r="P286" s="51">
        <f t="shared" si="126"/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IFERROR(__xludf.DUMMYFUNCTION("IMPORTRANGE(""https://docs.google.com/spreadsheets/d/1-uDff_7J0KD5mKrp0Vvzr7lt3OU09vwQwhkpOPPYv2Y/edit?usp=sharing"",""งบพรบ!DO75"")"),0)</f>
        <v>0</v>
      </c>
      <c r="M287" s="48">
        <f ca="1">IFERROR(__xludf.DUMMYFUNCTION("IMPORTRANGE(""https://docs.google.com/spreadsheets/d/1-uDff_7J0KD5mKrp0Vvzr7lt3OU09vwQwhkpOPPYv2Y/edit?usp=sharing"",""งบพรบ!DT75"")"),0)</f>
        <v>0</v>
      </c>
      <c r="N287" s="48">
        <f ca="1">IFERROR(__xludf.DUMMYFUNCTION("IMPORTRANGE(""https://docs.google.com/spreadsheets/d/1-uDff_7J0KD5mKrp0Vvzr7lt3OU09vwQwhkpOPPYv2Y/edit?usp=sharing"",""งบพรบ!DV75"")"),0)</f>
        <v>0</v>
      </c>
      <c r="O287" s="48">
        <f t="shared" ca="1" si="125"/>
        <v>0</v>
      </c>
      <c r="P287" s="48">
        <f t="shared" ca="1" si="126"/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t="shared" ref="L288:N288" ca="1" si="130">L289+L290</f>
        <v>0</v>
      </c>
      <c r="M288" s="48">
        <f t="shared" ca="1" si="130"/>
        <v>0</v>
      </c>
      <c r="N288" s="48">
        <f t="shared" ca="1" si="130"/>
        <v>0</v>
      </c>
      <c r="O288" s="48">
        <f t="shared" ca="1" si="125"/>
        <v>0</v>
      </c>
      <c r="P288" s="48">
        <f t="shared" ca="1" si="126"/>
        <v>0</v>
      </c>
    </row>
    <row r="289" spans="1:16" ht="18.75" hidden="1" x14ac:dyDescent="0.25">
      <c r="A289" s="137"/>
      <c r="B289" s="42"/>
      <c r="C289" s="42"/>
      <c r="D289" s="42"/>
      <c r="E289" s="49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 t="shared" si="125"/>
        <v>0</v>
      </c>
      <c r="P289" s="51">
        <f t="shared" si="126"/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IFERROR(__xludf.DUMMYFUNCTION("IMPORTRANGE(""https://docs.google.com/spreadsheets/d/1-uDff_7J0KD5mKrp0Vvzr7lt3OU09vwQwhkpOPPYv2Y/edit?usp=sharing"",""งบพรบ!DR75"")"),0)</f>
        <v>0</v>
      </c>
      <c r="M290" s="48">
        <f ca="1">IFERROR(__xludf.DUMMYFUNCTION("IMPORTRANGE(""https://docs.google.com/spreadsheets/d/1-uDff_7J0KD5mKrp0Vvzr7lt3OU09vwQwhkpOPPYv2Y/edit?usp=sharing"",""งบพรบ!DU75"")"),0)</f>
        <v>0</v>
      </c>
      <c r="N290" s="48">
        <f ca="1">IFERROR(__xludf.DUMMYFUNCTION("IMPORTRANGE(""https://docs.google.com/spreadsheets/d/1-uDff_7J0KD5mKrp0Vvzr7lt3OU09vwQwhkpOPPYv2Y/edit?usp=sharing"",""งบพรบ!DW75"")"),0)</f>
        <v>0</v>
      </c>
      <c r="O290" s="48">
        <f t="shared" ca="1" si="125"/>
        <v>0</v>
      </c>
      <c r="P290" s="48">
        <f t="shared" ca="1" si="126"/>
        <v>0</v>
      </c>
    </row>
    <row r="291" spans="1:16" ht="19.5" hidden="1" x14ac:dyDescent="0.3">
      <c r="A291" s="149"/>
      <c r="B291" s="150"/>
      <c r="C291" s="138" t="s">
        <v>16</v>
      </c>
      <c r="D291" s="151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IFERROR(__xludf.DUMMYFUNCTION("IMPORTRANGE(""https://docs.google.com/spreadsheets/d/1eHaY18a8A9IcSdp1K8H6x8fbOy06t2VsZHhMHf-1x7Y/edit?usp=sharing"",""แผน!EE75"")"),0)</f>
        <v>0</v>
      </c>
      <c r="J292" s="163">
        <v>0</v>
      </c>
      <c r="K292" s="164">
        <f t="shared" ref="K292:K293" ca="1" si="13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IFERROR(__xludf.DUMMYFUNCTION("IMPORTRANGE(""https://docs.google.com/spreadsheets/d/1eHaY18a8A9IcSdp1K8H6x8fbOy06t2VsZHhMHf-1x7Y/edit?usp=sharing"",""แผน!ED75"")"),0)</f>
        <v>0</v>
      </c>
      <c r="J293" s="158">
        <f>J296</f>
        <v>0</v>
      </c>
      <c r="K293" s="159">
        <f t="shared" ca="1" si="131"/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161" t="s">
        <v>33</v>
      </c>
      <c r="I295" s="162">
        <f ca="1">IFERROR(__xludf.DUMMYFUNCTION("IMPORTRANGE(""https://docs.google.com/spreadsheets/d/1eHaY18a8A9IcSdp1K8H6x8fbOy06t2VsZHhMHf-1x7Y/edit?usp=sharing"",""แผน!ED75"")"),0)</f>
        <v>0</v>
      </c>
      <c r="J295" s="163">
        <v>0</v>
      </c>
      <c r="K295" s="164">
        <f t="shared" ref="K295:K296" ca="1" si="132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161" t="s">
        <v>33</v>
      </c>
      <c r="I296" s="162">
        <f ca="1">IFERROR(__xludf.DUMMYFUNCTION("IMPORTRANGE(""https://docs.google.com/spreadsheets/d/1eHaY18a8A9IcSdp1K8H6x8fbOy06t2VsZHhMHf-1x7Y/edit?usp=sharing"",""แผน!ED75"")"),0)</f>
        <v>0</v>
      </c>
      <c r="J296" s="163">
        <v>0</v>
      </c>
      <c r="K296" s="164">
        <f t="shared" ca="1" si="132"/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t="shared" ref="I302:J302" ca="1" si="133">I314</f>
        <v>0</v>
      </c>
      <c r="J302" s="345">
        <f t="shared" si="133"/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38" t="s">
        <v>16</v>
      </c>
      <c r="D303" s="139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t="shared" ref="L303:N303" ca="1" si="134">L304+L305</f>
        <v>0</v>
      </c>
      <c r="M303" s="141">
        <f t="shared" ca="1" si="134"/>
        <v>0</v>
      </c>
      <c r="N303" s="141">
        <f t="shared" ca="1" si="134"/>
        <v>0</v>
      </c>
      <c r="O303" s="141">
        <f t="shared" ref="O303:O311" ca="1" si="135">IF(L303&gt;0,N303*100/L303,0)</f>
        <v>0</v>
      </c>
      <c r="P303" s="141">
        <f t="shared" ref="P303:P311" ca="1" si="136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49" t="s">
        <v>18</v>
      </c>
      <c r="F304" s="42"/>
      <c r="G304" s="44"/>
      <c r="H304" s="142" t="s">
        <v>12</v>
      </c>
      <c r="I304" s="46"/>
      <c r="J304" s="46"/>
      <c r="K304" s="47"/>
      <c r="L304" s="51">
        <f t="shared" ref="L304:N304" si="137">L307+L310</f>
        <v>0</v>
      </c>
      <c r="M304" s="51">
        <f t="shared" si="137"/>
        <v>0</v>
      </c>
      <c r="N304" s="51">
        <f t="shared" si="137"/>
        <v>0</v>
      </c>
      <c r="O304" s="51">
        <f t="shared" si="135"/>
        <v>0</v>
      </c>
      <c r="P304" s="51">
        <f t="shared" si="136"/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t="shared" ref="L305:N305" ca="1" si="138">L308+L311</f>
        <v>0</v>
      </c>
      <c r="M305" s="48">
        <f t="shared" ca="1" si="138"/>
        <v>0</v>
      </c>
      <c r="N305" s="48">
        <f t="shared" ca="1" si="138"/>
        <v>0</v>
      </c>
      <c r="O305" s="48">
        <f t="shared" ca="1" si="135"/>
        <v>0</v>
      </c>
      <c r="P305" s="48">
        <f t="shared" ca="1" si="136"/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t="shared" ref="L306:N306" ca="1" si="139">L307+L308</f>
        <v>0</v>
      </c>
      <c r="M306" s="48">
        <f t="shared" ca="1" si="139"/>
        <v>0</v>
      </c>
      <c r="N306" s="48">
        <f t="shared" ca="1" si="139"/>
        <v>0</v>
      </c>
      <c r="O306" s="48">
        <f t="shared" ca="1" si="135"/>
        <v>0</v>
      </c>
      <c r="P306" s="48">
        <f t="shared" ca="1" si="136"/>
        <v>0</v>
      </c>
    </row>
    <row r="307" spans="1:16" ht="18.75" hidden="1" x14ac:dyDescent="0.25">
      <c r="A307" s="137"/>
      <c r="B307" s="42"/>
      <c r="C307" s="42"/>
      <c r="D307" s="42"/>
      <c r="E307" s="49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 t="shared" si="135"/>
        <v>0</v>
      </c>
      <c r="P307" s="51">
        <f t="shared" si="136"/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IFERROR(__xludf.DUMMYFUNCTION("IMPORTRANGE(""https://docs.google.com/spreadsheets/d/1-uDff_7J0KD5mKrp0Vvzr7lt3OU09vwQwhkpOPPYv2Y/edit?usp=sharing"",""งบพรบ!DY75"")"),0)</f>
        <v>0</v>
      </c>
      <c r="M308" s="48">
        <f ca="1">IFERROR(__xludf.DUMMYFUNCTION("IMPORTRANGE(""https://docs.google.com/spreadsheets/d/1-uDff_7J0KD5mKrp0Vvzr7lt3OU09vwQwhkpOPPYv2Y/edit?usp=sharing"",""งบพรบ!ED75"")"),0)</f>
        <v>0</v>
      </c>
      <c r="N308" s="48">
        <f ca="1">IFERROR(__xludf.DUMMYFUNCTION("IMPORTRANGE(""https://docs.google.com/spreadsheets/d/1-uDff_7J0KD5mKrp0Vvzr7lt3OU09vwQwhkpOPPYv2Y/edit?usp=sharing"",""งบพรบ!EF75"")"),0)</f>
        <v>0</v>
      </c>
      <c r="O308" s="48">
        <f t="shared" ca="1" si="135"/>
        <v>0</v>
      </c>
      <c r="P308" s="48">
        <f t="shared" ca="1" si="136"/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t="shared" ref="L309:N309" ca="1" si="140">L310+L311</f>
        <v>0</v>
      </c>
      <c r="M309" s="48">
        <f t="shared" ca="1" si="140"/>
        <v>0</v>
      </c>
      <c r="N309" s="48">
        <f t="shared" ca="1" si="140"/>
        <v>0</v>
      </c>
      <c r="O309" s="48">
        <f t="shared" ca="1" si="135"/>
        <v>0</v>
      </c>
      <c r="P309" s="48">
        <f t="shared" ca="1" si="136"/>
        <v>0</v>
      </c>
    </row>
    <row r="310" spans="1:16" ht="18.75" hidden="1" x14ac:dyDescent="0.25">
      <c r="A310" s="137"/>
      <c r="B310" s="42"/>
      <c r="C310" s="42"/>
      <c r="D310" s="42"/>
      <c r="E310" s="49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 t="shared" si="135"/>
        <v>0</v>
      </c>
      <c r="P310" s="51">
        <f t="shared" si="136"/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IFERROR(__xludf.DUMMYFUNCTION("IMPORTRANGE(""https://docs.google.com/spreadsheets/d/1-uDff_7J0KD5mKrp0Vvzr7lt3OU09vwQwhkpOPPYv2Y/edit?usp=sharing"",""งบพรบ!EB75"")"),0)</f>
        <v>0</v>
      </c>
      <c r="M311" s="48">
        <f ca="1">IFERROR(__xludf.DUMMYFUNCTION("IMPORTRANGE(""https://docs.google.com/spreadsheets/d/1-uDff_7J0KD5mKrp0Vvzr7lt3OU09vwQwhkpOPPYv2Y/edit?usp=sharing"",""งบพรบ!EE75"")"),0)</f>
        <v>0</v>
      </c>
      <c r="N311" s="48">
        <f ca="1">IFERROR(__xludf.DUMMYFUNCTION("IMPORTRANGE(""https://docs.google.com/spreadsheets/d/1-uDff_7J0KD5mKrp0Vvzr7lt3OU09vwQwhkpOPPYv2Y/edit?usp=sharing"",""งบพรบ!EG75"")"),0)</f>
        <v>0</v>
      </c>
      <c r="O311" s="48">
        <f t="shared" ca="1" si="135"/>
        <v>0</v>
      </c>
      <c r="P311" s="48">
        <f t="shared" ca="1" si="136"/>
        <v>0</v>
      </c>
    </row>
    <row r="312" spans="1:16" ht="19.5" hidden="1" x14ac:dyDescent="0.3">
      <c r="A312" s="149"/>
      <c r="B312" s="150"/>
      <c r="C312" s="138" t="s">
        <v>16</v>
      </c>
      <c r="D312" s="151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161" t="s">
        <v>33</v>
      </c>
      <c r="I314" s="170">
        <f ca="1">IFERROR(__xludf.DUMMYFUNCTION("IMPORTRANGE(""https://docs.google.com/spreadsheets/d/1eHaY18a8A9IcSdp1K8H6x8fbOy06t2VsZHhMHf-1x7Y/edit?usp=sharing"",""แผน!EF75"")"),0)</f>
        <v>0</v>
      </c>
      <c r="J314" s="163">
        <v>0</v>
      </c>
      <c r="K314" s="48">
        <f t="shared" ref="K314:K317" ca="1" si="14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161" t="s">
        <v>33</v>
      </c>
      <c r="I315" s="170">
        <f ca="1">IFERROR(__xludf.DUMMYFUNCTION("IMPORTRANGE(""https://docs.google.com/spreadsheets/d/1eHaY18a8A9IcSdp1K8H6x8fbOy06t2VsZHhMHf-1x7Y/edit?usp=sharing"",""แผน!EG75"")"),0)</f>
        <v>0</v>
      </c>
      <c r="J315" s="163">
        <v>0</v>
      </c>
      <c r="K315" s="48">
        <f t="shared" ca="1" si="141"/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161" t="s">
        <v>33</v>
      </c>
      <c r="I316" s="170">
        <f ca="1">IFERROR(__xludf.DUMMYFUNCTION("IMPORTRANGE(""https://docs.google.com/spreadsheets/d/1eHaY18a8A9IcSdp1K8H6x8fbOy06t2VsZHhMHf-1x7Y/edit?usp=sharing"",""แผน!EH75"")"),0)</f>
        <v>0</v>
      </c>
      <c r="J316" s="163">
        <v>0</v>
      </c>
      <c r="K316" s="48">
        <f t="shared" ca="1" si="141"/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49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IFERROR(__xludf.DUMMYFUNCTION("IMPORTRANGE(""https://docs.google.com/spreadsheets/d/1eHaY18a8A9IcSdp1K8H6x8fbOy06t2VsZHhMHf-1x7Y/edit?usp=sharing"",""แผน!Ei75"")"),0)</f>
        <v>0</v>
      </c>
      <c r="J317" s="201">
        <v>0</v>
      </c>
      <c r="K317" s="51">
        <f t="shared" ca="1" si="141"/>
        <v>0</v>
      </c>
      <c r="L317" s="47"/>
      <c r="M317" s="47"/>
      <c r="N317" s="47"/>
      <c r="O317" s="47"/>
      <c r="P317" s="47"/>
    </row>
    <row r="318" spans="1:16" ht="19.5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t="shared" ref="I319:J319" ca="1" si="142">I330</f>
        <v>1</v>
      </c>
      <c r="J319" s="345">
        <f t="shared" si="142"/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x14ac:dyDescent="0.3">
      <c r="A320" s="137"/>
      <c r="B320" s="42"/>
      <c r="C320" s="138" t="s">
        <v>16</v>
      </c>
      <c r="D320" s="139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t="shared" ref="L320:N320" ca="1" si="143">L321+L322</f>
        <v>30000</v>
      </c>
      <c r="M320" s="141">
        <f t="shared" ca="1" si="143"/>
        <v>90000</v>
      </c>
      <c r="N320" s="141">
        <f t="shared" ca="1" si="143"/>
        <v>83380</v>
      </c>
      <c r="O320" s="141">
        <f t="shared" ref="O320:O328" ca="1" si="144">IF(L320&gt;0,N320*100/L320,0)</f>
        <v>277.93333333333334</v>
      </c>
      <c r="P320" s="141">
        <f t="shared" ref="P320:P328" ca="1" si="145">IF(M320&gt;0,N320*100/M320,0)</f>
        <v>92.644444444444446</v>
      </c>
    </row>
    <row r="321" spans="1:16" ht="18.75" hidden="1" x14ac:dyDescent="0.25">
      <c r="A321" s="137"/>
      <c r="B321" s="42"/>
      <c r="C321" s="42"/>
      <c r="D321" s="42"/>
      <c r="E321" s="49" t="s">
        <v>18</v>
      </c>
      <c r="F321" s="42"/>
      <c r="G321" s="44"/>
      <c r="H321" s="142" t="s">
        <v>12</v>
      </c>
      <c r="I321" s="46"/>
      <c r="J321" s="46"/>
      <c r="K321" s="47"/>
      <c r="L321" s="51">
        <f t="shared" ref="L321:N321" si="146">L324+L327</f>
        <v>0</v>
      </c>
      <c r="M321" s="51">
        <f t="shared" si="146"/>
        <v>0</v>
      </c>
      <c r="N321" s="51">
        <f t="shared" si="146"/>
        <v>0</v>
      </c>
      <c r="O321" s="51">
        <f t="shared" si="144"/>
        <v>0</v>
      </c>
      <c r="P321" s="51">
        <f t="shared" si="145"/>
        <v>0</v>
      </c>
    </row>
    <row r="322" spans="1:16" ht="18.75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t="shared" ref="L322:N322" ca="1" si="147">L325+L328</f>
        <v>30000</v>
      </c>
      <c r="M322" s="48">
        <f t="shared" ca="1" si="147"/>
        <v>90000</v>
      </c>
      <c r="N322" s="48">
        <f t="shared" ca="1" si="147"/>
        <v>83380</v>
      </c>
      <c r="O322" s="48">
        <f t="shared" ca="1" si="144"/>
        <v>277.93333333333334</v>
      </c>
      <c r="P322" s="48">
        <f t="shared" ca="1" si="145"/>
        <v>92.644444444444446</v>
      </c>
    </row>
    <row r="323" spans="1:16" ht="18.75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t="shared" ref="L323:N323" ca="1" si="148">L324+L325</f>
        <v>30000</v>
      </c>
      <c r="M323" s="48">
        <f t="shared" ca="1" si="148"/>
        <v>90000</v>
      </c>
      <c r="N323" s="48">
        <f t="shared" ca="1" si="148"/>
        <v>83380</v>
      </c>
      <c r="O323" s="48">
        <f t="shared" ca="1" si="144"/>
        <v>277.93333333333334</v>
      </c>
      <c r="P323" s="48">
        <f t="shared" ca="1" si="145"/>
        <v>92.644444444444446</v>
      </c>
    </row>
    <row r="324" spans="1:16" ht="18.75" hidden="1" x14ac:dyDescent="0.25">
      <c r="A324" s="137"/>
      <c r="B324" s="42"/>
      <c r="C324" s="42"/>
      <c r="D324" s="42"/>
      <c r="E324" s="49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 t="shared" si="144"/>
        <v>0</v>
      </c>
      <c r="P324" s="51">
        <f t="shared" si="145"/>
        <v>0</v>
      </c>
    </row>
    <row r="325" spans="1:16" ht="18.75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IFERROR(__xludf.DUMMYFUNCTION("IMPORTRANGE(""https://docs.google.com/spreadsheets/d/1-uDff_7J0KD5mKrp0Vvzr7lt3OU09vwQwhkpOPPYv2Y/edit?usp=sharing"",""งบพรบ!EI75"")"),30000)</f>
        <v>30000</v>
      </c>
      <c r="M325" s="48">
        <f ca="1">IFERROR(__xludf.DUMMYFUNCTION("IMPORTRANGE(""https://docs.google.com/spreadsheets/d/1-uDff_7J0KD5mKrp0Vvzr7lt3OU09vwQwhkpOPPYv2Y/edit?usp=sharing"",""งบพรบ!EN75"")"),90000)</f>
        <v>90000</v>
      </c>
      <c r="N325" s="48">
        <f ca="1">IFERROR(__xludf.DUMMYFUNCTION("IMPORTRANGE(""https://docs.google.com/spreadsheets/d/1-uDff_7J0KD5mKrp0Vvzr7lt3OU09vwQwhkpOPPYv2Y/edit?usp=sharing"",""งบพรบ!EP75"")"),83380)</f>
        <v>83380</v>
      </c>
      <c r="O325" s="48">
        <f t="shared" ca="1" si="144"/>
        <v>277.93333333333334</v>
      </c>
      <c r="P325" s="48">
        <f t="shared" ca="1" si="145"/>
        <v>92.644444444444446</v>
      </c>
    </row>
    <row r="326" spans="1:16" ht="18.75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t="shared" ref="L326:N326" ca="1" si="149">L327+L328</f>
        <v>0</v>
      </c>
      <c r="M326" s="48">
        <f t="shared" ca="1" si="149"/>
        <v>0</v>
      </c>
      <c r="N326" s="48">
        <f t="shared" ca="1" si="149"/>
        <v>0</v>
      </c>
      <c r="O326" s="48">
        <f t="shared" ca="1" si="144"/>
        <v>0</v>
      </c>
      <c r="P326" s="48">
        <f t="shared" ca="1" si="145"/>
        <v>0</v>
      </c>
    </row>
    <row r="327" spans="1:16" ht="18.75" hidden="1" x14ac:dyDescent="0.25">
      <c r="A327" s="137"/>
      <c r="B327" s="42"/>
      <c r="C327" s="42"/>
      <c r="D327" s="42"/>
      <c r="E327" s="49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 t="shared" si="144"/>
        <v>0</v>
      </c>
      <c r="P327" s="51">
        <f t="shared" si="145"/>
        <v>0</v>
      </c>
    </row>
    <row r="328" spans="1:16" ht="18.75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IFERROR(__xludf.DUMMYFUNCTION("IMPORTRANGE(""https://docs.google.com/spreadsheets/d/1-uDff_7J0KD5mKrp0Vvzr7lt3OU09vwQwhkpOPPYv2Y/edit?usp=sharing"",""งบพรบ!EL75"")"),0)</f>
        <v>0</v>
      </c>
      <c r="M328" s="48">
        <f ca="1">IFERROR(__xludf.DUMMYFUNCTION("IMPORTRANGE(""https://docs.google.com/spreadsheets/d/1-uDff_7J0KD5mKrp0Vvzr7lt3OU09vwQwhkpOPPYv2Y/edit?usp=sharing"",""งบพรบ!EO75"")"),0)</f>
        <v>0</v>
      </c>
      <c r="N328" s="48">
        <f ca="1">IFERROR(__xludf.DUMMYFUNCTION("IMPORTRANGE(""https://docs.google.com/spreadsheets/d/1-uDff_7J0KD5mKrp0Vvzr7lt3OU09vwQwhkpOPPYv2Y/edit?usp=sharing"",""งบพรบ!EQ75"")"),0)</f>
        <v>0</v>
      </c>
      <c r="O328" s="48">
        <f t="shared" ca="1" si="144"/>
        <v>0</v>
      </c>
      <c r="P328" s="48">
        <f t="shared" ca="1" si="145"/>
        <v>0</v>
      </c>
    </row>
    <row r="329" spans="1:16" ht="19.5" x14ac:dyDescent="0.3">
      <c r="A329" s="149"/>
      <c r="B329" s="150"/>
      <c r="C329" s="138" t="s">
        <v>16</v>
      </c>
      <c r="D329" s="151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IFERROR(__xludf.DUMMYFUNCTION("IMPORTRANGE(""https://docs.google.com/spreadsheets/d/1eHaY18a8A9IcSdp1K8H6x8fbOy06t2VsZHhMHf-1x7Y/edit?usp=sharing"",""แผน!EJ75"")"),1)</f>
        <v>1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1340</v>
      </c>
      <c r="J332" s="352">
        <f ca="1">J344+J347+J348+J349+J353</f>
        <v>1695</v>
      </c>
      <c r="K332" s="353">
        <f ca="1">IF(I332&gt;0,J332*100/I332,0)</f>
        <v>126.49253731343283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38" t="s">
        <v>16</v>
      </c>
      <c r="D333" s="139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t="shared" ref="L333:N333" ca="1" si="150">L334+L335</f>
        <v>106000</v>
      </c>
      <c r="M333" s="141">
        <f t="shared" ca="1" si="150"/>
        <v>85750</v>
      </c>
      <c r="N333" s="141">
        <f t="shared" ca="1" si="150"/>
        <v>16166.67</v>
      </c>
      <c r="O333" s="141">
        <f t="shared" ref="O333:O341" ca="1" si="151">IF(L333&gt;0,N333*100/L333,0)</f>
        <v>15.251575471698112</v>
      </c>
      <c r="P333" s="141">
        <f t="shared" ref="P333:P341" ca="1" si="152">IF(M333&gt;0,N333*100/M333,0)</f>
        <v>18.85325947521866</v>
      </c>
    </row>
    <row r="334" spans="1:16" ht="18.75" hidden="1" x14ac:dyDescent="0.25">
      <c r="A334" s="137"/>
      <c r="B334" s="42"/>
      <c r="C334" s="42"/>
      <c r="D334" s="42"/>
      <c r="E334" s="49" t="s">
        <v>18</v>
      </c>
      <c r="F334" s="42"/>
      <c r="G334" s="44"/>
      <c r="H334" s="142" t="s">
        <v>12</v>
      </c>
      <c r="I334" s="46"/>
      <c r="J334" s="46"/>
      <c r="K334" s="47"/>
      <c r="L334" s="51">
        <f t="shared" ref="L334:N334" si="153">L337+L340</f>
        <v>0</v>
      </c>
      <c r="M334" s="51">
        <f t="shared" si="153"/>
        <v>0</v>
      </c>
      <c r="N334" s="51">
        <f t="shared" si="153"/>
        <v>0</v>
      </c>
      <c r="O334" s="51">
        <f t="shared" si="151"/>
        <v>0</v>
      </c>
      <c r="P334" s="51">
        <f t="shared" si="152"/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t="shared" ref="L335:N335" ca="1" si="154">L338+L341</f>
        <v>106000</v>
      </c>
      <c r="M335" s="48">
        <f t="shared" ca="1" si="154"/>
        <v>85750</v>
      </c>
      <c r="N335" s="48">
        <f t="shared" ca="1" si="154"/>
        <v>16166.67</v>
      </c>
      <c r="O335" s="48">
        <f t="shared" ca="1" si="151"/>
        <v>15.251575471698112</v>
      </c>
      <c r="P335" s="48">
        <f t="shared" ca="1" si="152"/>
        <v>18.85325947521866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t="shared" ref="L336:N336" ca="1" si="155">L337+L338</f>
        <v>106000</v>
      </c>
      <c r="M336" s="48">
        <f t="shared" ca="1" si="155"/>
        <v>85750</v>
      </c>
      <c r="N336" s="48">
        <f t="shared" ca="1" si="155"/>
        <v>16166.67</v>
      </c>
      <c r="O336" s="48">
        <f t="shared" ca="1" si="151"/>
        <v>15.251575471698112</v>
      </c>
      <c r="P336" s="48">
        <f t="shared" ca="1" si="152"/>
        <v>18.85325947521866</v>
      </c>
    </row>
    <row r="337" spans="1:16" ht="18.75" hidden="1" x14ac:dyDescent="0.25">
      <c r="A337" s="137"/>
      <c r="B337" s="42"/>
      <c r="C337" s="42"/>
      <c r="D337" s="42"/>
      <c r="E337" s="49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 t="shared" si="151"/>
        <v>0</v>
      </c>
      <c r="P337" s="51">
        <f t="shared" si="152"/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IFERROR(__xludf.DUMMYFUNCTION("IMPORTRANGE(""https://docs.google.com/spreadsheets/d/1-uDff_7J0KD5mKrp0Vvzr7lt3OU09vwQwhkpOPPYv2Y/edit?usp=sharing"",""งบพรบ!ES75"")"),106000)</f>
        <v>106000</v>
      </c>
      <c r="M338" s="48">
        <f ca="1">IFERROR(__xludf.DUMMYFUNCTION("IMPORTRANGE(""https://docs.google.com/spreadsheets/d/1-uDff_7J0KD5mKrp0Vvzr7lt3OU09vwQwhkpOPPYv2Y/edit?usp=sharing"",""งบพรบ!EX75"")"),85750)</f>
        <v>85750</v>
      </c>
      <c r="N338" s="48">
        <f ca="1">IFERROR(__xludf.DUMMYFUNCTION("IMPORTRANGE(""https://docs.google.com/spreadsheets/d/1-uDff_7J0KD5mKrp0Vvzr7lt3OU09vwQwhkpOPPYv2Y/edit?usp=sharing"",""งบพรบ!EZ75"")"),16166.67)</f>
        <v>16166.67</v>
      </c>
      <c r="O338" s="48">
        <f t="shared" ca="1" si="151"/>
        <v>15.251575471698112</v>
      </c>
      <c r="P338" s="48">
        <f t="shared" ca="1" si="152"/>
        <v>18.85325947521866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t="shared" ref="L339:N339" ca="1" si="156">L340+L341</f>
        <v>0</v>
      </c>
      <c r="M339" s="48">
        <f t="shared" ca="1" si="156"/>
        <v>0</v>
      </c>
      <c r="N339" s="48">
        <f t="shared" ca="1" si="156"/>
        <v>0</v>
      </c>
      <c r="O339" s="48">
        <f t="shared" ca="1" si="151"/>
        <v>0</v>
      </c>
      <c r="P339" s="48">
        <f t="shared" ca="1" si="152"/>
        <v>0</v>
      </c>
    </row>
    <row r="340" spans="1:16" ht="18.75" hidden="1" x14ac:dyDescent="0.25">
      <c r="A340" s="137"/>
      <c r="B340" s="42"/>
      <c r="C340" s="42"/>
      <c r="D340" s="42"/>
      <c r="E340" s="49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 t="shared" si="151"/>
        <v>0</v>
      </c>
      <c r="P340" s="51">
        <f t="shared" si="152"/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IFERROR(__xludf.DUMMYFUNCTION("IMPORTRANGE(""https://docs.google.com/spreadsheets/d/1-uDff_7J0KD5mKrp0Vvzr7lt3OU09vwQwhkpOPPYv2Y/edit?usp=sharing"",""งบพรบ!EV75"")"),0)</f>
        <v>0</v>
      </c>
      <c r="M341" s="48">
        <f ca="1">IFERROR(__xludf.DUMMYFUNCTION("IMPORTRANGE(""https://docs.google.com/spreadsheets/d/1-uDff_7J0KD5mKrp0Vvzr7lt3OU09vwQwhkpOPPYv2Y/edit?usp=sharing"",""งบพรบ!EY75"")"),0)</f>
        <v>0</v>
      </c>
      <c r="N341" s="48">
        <f ca="1">IFERROR(__xludf.DUMMYFUNCTION("IMPORTRANGE(""https://docs.google.com/spreadsheets/d/1-uDff_7J0KD5mKrp0Vvzr7lt3OU09vwQwhkpOPPYv2Y/edit?usp=sharing"",""งบพรบ!FA75"")"),0)</f>
        <v>0</v>
      </c>
      <c r="O341" s="48">
        <f t="shared" ca="1" si="151"/>
        <v>0</v>
      </c>
      <c r="P341" s="48">
        <f t="shared" ca="1" si="152"/>
        <v>0</v>
      </c>
    </row>
    <row r="342" spans="1:16" ht="19.5" x14ac:dyDescent="0.3">
      <c r="A342" s="149"/>
      <c r="B342" s="150"/>
      <c r="C342" s="13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357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370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IFERROR(__xludf.DUMMYFUNCTION("IMPORTRANGE(""https://docs.google.com/spreadsheets/d/1eHaY18a8A9IcSdp1K8H6x8fbOy06t2VsZHhMHf-1x7Y/edit?usp=sharing"",""แผน!EK75"")"),1340)</f>
        <v>1340</v>
      </c>
      <c r="J344" s="170">
        <f ca="1">IFERROR(__xludf.DUMMYFUNCTION("IMPORTRANGE(""https://docs.google.com/spreadsheets/d/1awYsYK3VOup2i3Pq_Yjnu8DRu_mYwSBnCR2QPthd0rU/edit?usp=sharing"",""ศูนย์ยกเว้นโฉนด!D75"")"),339)</f>
        <v>339</v>
      </c>
      <c r="K344" s="48">
        <f ca="1">IF(I344&gt;0,J344*100/I344,0)</f>
        <v>25.298507462686569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IFERROR(__xludf.DUMMYFUNCTION("IMPORTRANGE(""https://docs.google.com/spreadsheets/d/1eHaY18a8A9IcSdp1K8H6x8fbOy06t2VsZHhMHf-1x7Y/edit?usp=sharing"",""แผน!EL75"")"),3)</f>
        <v>3</v>
      </c>
      <c r="J346" s="170">
        <f ca="1">IFERROR(__xludf.DUMMYFUNCTION("IMPORTRANGE(""https://docs.google.com/spreadsheets/d/1awYsYK3VOup2i3Pq_Yjnu8DRu_mYwSBnCR2QPthd0rU/edit?usp=sharing"",""ศูนย์รวม!E75"")"),4)</f>
        <v>4</v>
      </c>
      <c r="K346" s="48">
        <f ca="1">IF(I346&gt;0,J346*100/I346,0)</f>
        <v>133.33333333333334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IFERROR(__xludf.DUMMYFUNCTION("IMPORTRANGE(""https://docs.google.com/spreadsheets/d/1awYsYK3VOup2i3Pq_Yjnu8DRu_mYwSBnCR2QPthd0rU/edit?usp=sharing"",""ศูนย์ยกเว้นโฉนด!F75"")"),27)</f>
        <v>27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IFERROR(__xludf.DUMMYFUNCTION("IMPORTRANGE(""https://docs.google.com/spreadsheets/d/1awYsYK3VOup2i3Pq_Yjnu8DRu_mYwSBnCR2QPthd0rU/edit?usp=sharing"",""ศูนย์ยกเว้นโฉนด!G75"")"),4)</f>
        <v>4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IFERROR(__xludf.DUMMYFUNCTION("IMPORTRANGE(""https://docs.google.com/spreadsheets/d/1awYsYK3VOup2i3Pq_Yjnu8DRu_mYwSBnCR2QPthd0rU/edit?usp=sharing"",""ศูนย์ยกเว้นโฉนด!H75"")"),0)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366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1469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IFERROR(__xludf.DUMMYFUNCTION("IMPORTRANGE(""https://docs.google.com/spreadsheets/d/1awYsYK3VOup2i3Pq_Yjnu8DRu_mYwSBnCR2QPthd0rU/edit?usp=sharing"",""โฉนดM3!G75"")"),144)</f>
        <v>144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IFERROR(__xludf.DUMMYFUNCTION("IMPORTRANGE(""https://docs.google.com/spreadsheets/d/1awYsYK3VOup2i3Pq_Yjnu8DRu_mYwSBnCR2QPthd0rU/edit?usp=sharing"",""โฉนดM3!H75"")"),1325)</f>
        <v>1325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38" t="s">
        <v>16</v>
      </c>
      <c r="D356" s="139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t="shared" ref="L356:N356" ca="1" si="157">L357+L358</f>
        <v>584350</v>
      </c>
      <c r="M356" s="141">
        <f t="shared" ca="1" si="157"/>
        <v>542550</v>
      </c>
      <c r="N356" s="141">
        <f t="shared" ca="1" si="157"/>
        <v>160900</v>
      </c>
      <c r="O356" s="141">
        <f t="shared" ref="O356:O364" ca="1" si="158">IF(L356&gt;0,N356*100/L356,0)</f>
        <v>27.534867801831094</v>
      </c>
      <c r="P356" s="141">
        <f t="shared" ref="P356:P364" ca="1" si="159">IF(M356&gt;0,N356*100/M356,0)</f>
        <v>29.656252879918902</v>
      </c>
    </row>
    <row r="357" spans="1:16" ht="18.75" hidden="1" x14ac:dyDescent="0.25">
      <c r="A357" s="137"/>
      <c r="B357" s="42"/>
      <c r="C357" s="42"/>
      <c r="D357" s="42"/>
      <c r="E357" s="49" t="s">
        <v>18</v>
      </c>
      <c r="F357" s="42"/>
      <c r="G357" s="44"/>
      <c r="H357" s="142" t="s">
        <v>12</v>
      </c>
      <c r="I357" s="46"/>
      <c r="J357" s="46"/>
      <c r="K357" s="47"/>
      <c r="L357" s="51">
        <f t="shared" ref="L357:N357" si="160">L360+L363</f>
        <v>0</v>
      </c>
      <c r="M357" s="51">
        <f t="shared" si="160"/>
        <v>0</v>
      </c>
      <c r="N357" s="51">
        <f t="shared" si="160"/>
        <v>0</v>
      </c>
      <c r="O357" s="51">
        <f t="shared" si="158"/>
        <v>0</v>
      </c>
      <c r="P357" s="51">
        <f t="shared" si="159"/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t="shared" ref="L358:N358" ca="1" si="161">L361+L364</f>
        <v>584350</v>
      </c>
      <c r="M358" s="48">
        <f t="shared" ca="1" si="161"/>
        <v>542550</v>
      </c>
      <c r="N358" s="48">
        <f t="shared" ca="1" si="161"/>
        <v>160900</v>
      </c>
      <c r="O358" s="48">
        <f t="shared" ca="1" si="158"/>
        <v>27.534867801831094</v>
      </c>
      <c r="P358" s="48">
        <f t="shared" ca="1" si="159"/>
        <v>29.656252879918902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t="shared" ref="L359:N359" ca="1" si="162">L360+L361</f>
        <v>584350</v>
      </c>
      <c r="M359" s="48">
        <f t="shared" ca="1" si="162"/>
        <v>542550</v>
      </c>
      <c r="N359" s="48">
        <f t="shared" ca="1" si="162"/>
        <v>160900</v>
      </c>
      <c r="O359" s="48">
        <f t="shared" ca="1" si="158"/>
        <v>27.534867801831094</v>
      </c>
      <c r="P359" s="48">
        <f t="shared" ca="1" si="159"/>
        <v>29.656252879918902</v>
      </c>
    </row>
    <row r="360" spans="1:16" ht="18.75" hidden="1" x14ac:dyDescent="0.25">
      <c r="A360" s="137"/>
      <c r="B360" s="42"/>
      <c r="C360" s="42"/>
      <c r="D360" s="42"/>
      <c r="E360" s="49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 t="shared" si="158"/>
        <v>0</v>
      </c>
      <c r="P360" s="51">
        <f t="shared" si="159"/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IFERROR(__xludf.DUMMYFUNCTION("IMPORTRANGE(""https://docs.google.com/spreadsheets/d/1-uDff_7J0KD5mKrp0Vvzr7lt3OU09vwQwhkpOPPYv2Y/edit?usp=sharing"",""งบพรบ!FC75"")"),584350)</f>
        <v>584350</v>
      </c>
      <c r="M361" s="48">
        <f ca="1">IFERROR(__xludf.DUMMYFUNCTION("IMPORTRANGE(""https://docs.google.com/spreadsheets/d/1-uDff_7J0KD5mKrp0Vvzr7lt3OU09vwQwhkpOPPYv2Y/edit?usp=sharing"",""งบพรบ!FH75"")"),542550)</f>
        <v>542550</v>
      </c>
      <c r="N361" s="48">
        <f ca="1">IFERROR(__xludf.DUMMYFUNCTION("IMPORTRANGE(""https://docs.google.com/spreadsheets/d/1-uDff_7J0KD5mKrp0Vvzr7lt3OU09vwQwhkpOPPYv2Y/edit?usp=sharing"",""งบพรบ!FJ75"")"),160900)</f>
        <v>160900</v>
      </c>
      <c r="O361" s="48">
        <f t="shared" ca="1" si="158"/>
        <v>27.534867801831094</v>
      </c>
      <c r="P361" s="48">
        <f t="shared" ca="1" si="159"/>
        <v>29.656252879918902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t="shared" ref="L362:N362" ca="1" si="163">L363+L364</f>
        <v>0</v>
      </c>
      <c r="M362" s="48">
        <f t="shared" ca="1" si="163"/>
        <v>0</v>
      </c>
      <c r="N362" s="48">
        <f t="shared" ca="1" si="163"/>
        <v>0</v>
      </c>
      <c r="O362" s="48">
        <f t="shared" ca="1" si="158"/>
        <v>0</v>
      </c>
      <c r="P362" s="48">
        <f t="shared" ca="1" si="159"/>
        <v>0</v>
      </c>
    </row>
    <row r="363" spans="1:16" ht="18.75" hidden="1" x14ac:dyDescent="0.25">
      <c r="A363" s="137"/>
      <c r="B363" s="42"/>
      <c r="C363" s="42"/>
      <c r="D363" s="42"/>
      <c r="E363" s="49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 t="shared" si="158"/>
        <v>0</v>
      </c>
      <c r="P363" s="51">
        <f t="shared" si="159"/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IFERROR(__xludf.DUMMYFUNCTION("IMPORTRANGE(""https://docs.google.com/spreadsheets/d/1-uDff_7J0KD5mKrp0Vvzr7lt3OU09vwQwhkpOPPYv2Y/edit?usp=sharing"",""งบพรบ!FF75"")"),0)</f>
        <v>0</v>
      </c>
      <c r="M364" s="48">
        <f ca="1">IFERROR(__xludf.DUMMYFUNCTION("IMPORTRANGE(""https://docs.google.com/spreadsheets/d/1-uDff_7J0KD5mKrp0Vvzr7lt3OU09vwQwhkpOPPYv2Y/edit?usp=sharing"",""งบพรบ!FI75"")"),0)</f>
        <v>0</v>
      </c>
      <c r="N364" s="48">
        <f ca="1">IFERROR(__xludf.DUMMYFUNCTION("IMPORTRANGE(""https://docs.google.com/spreadsheets/d/1-uDff_7J0KD5mKrp0Vvzr7lt3OU09vwQwhkpOPPYv2Y/edit?usp=sharing"",""งบพรบ!FK75"")"),0)</f>
        <v>0</v>
      </c>
      <c r="O364" s="48">
        <f t="shared" ca="1" si="158"/>
        <v>0</v>
      </c>
      <c r="P364" s="48">
        <f t="shared" ca="1" si="159"/>
        <v>0</v>
      </c>
    </row>
    <row r="365" spans="1:16" ht="19.5" x14ac:dyDescent="0.3">
      <c r="A365" s="234"/>
      <c r="B365" s="235"/>
      <c r="C365" s="237"/>
      <c r="D365" s="366" t="s">
        <v>144</v>
      </c>
      <c r="E365" s="237"/>
      <c r="F365" s="237"/>
      <c r="G365" s="238"/>
      <c r="H365" s="246" t="s">
        <v>33</v>
      </c>
      <c r="I365" s="240">
        <f t="shared" ref="I365:J365" ca="1" si="164">I371</f>
        <v>210</v>
      </c>
      <c r="J365" s="240">
        <f t="shared" ca="1" si="164"/>
        <v>46</v>
      </c>
      <c r="K365" s="241">
        <f ca="1">IF(I365&gt;0,J365*100/I365,0)</f>
        <v>21.904761904761905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38" t="s">
        <v>16</v>
      </c>
      <c r="D366" s="151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IFERROR(__xludf.DUMMYFUNCTION("IMPORTRANGE(""https://docs.google.com/spreadsheets/d/1tdoBKaGub7dwA3U6UFTqxio9LNnvDCQjHKmttSEBsFQ/edit?usp=sharing"",""จัดที่ดิน!AB75"")"),6)</f>
        <v>6</v>
      </c>
      <c r="K367" s="48">
        <f t="shared" ref="K367:K372" si="165"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IFERROR(__xludf.DUMMYFUNCTION("IMPORTRANGE(""https://docs.google.com/spreadsheets/d/1eHaY18a8A9IcSdp1K8H6x8fbOy06t2VsZHhMHf-1x7Y/edit?usp=sharing"",""แผน!EW75"")"),1750)</f>
        <v>1750</v>
      </c>
      <c r="J368" s="368">
        <f ca="1">IFERROR(__xludf.DUMMYFUNCTION("IMPORTRANGE(""https://docs.google.com/spreadsheets/d/1tdoBKaGub7dwA3U6UFTqxio9LNnvDCQjHKmttSEBsFQ/edit?usp=sharing"",""จัดที่ดิน!AC75"")"),84.37)</f>
        <v>84.37</v>
      </c>
      <c r="K368" s="48">
        <f t="shared" ca="1" si="165"/>
        <v>4.8211428571428572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161" t="s">
        <v>33</v>
      </c>
      <c r="I369" s="170">
        <f ca="1">IFERROR(__xludf.DUMMYFUNCTION("IMPORTRANGE(""https://docs.google.com/spreadsheets/d/1eHaY18a8A9IcSdp1K8H6x8fbOy06t2VsZHhMHf-1x7Y/edit?usp=sharing"",""แผน!EX75"")"),305)</f>
        <v>305</v>
      </c>
      <c r="J369" s="170">
        <f ca="1">IFERROR(__xludf.DUMMYFUNCTION("IMPORTRANGE(""https://docs.google.com/spreadsheets/d/1tdoBKaGub7dwA3U6UFTqxio9LNnvDCQjHKmttSEBsFQ/edit?usp=sharing"",""จัดที่ดิน!AD75"")"),48)</f>
        <v>48</v>
      </c>
      <c r="K369" s="48">
        <f t="shared" ca="1" si="165"/>
        <v>15.737704918032787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16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IFERROR(__xludf.DUMMYFUNCTION("IMPORTRANGE(""https://docs.google.com/spreadsheets/d/1tdoBKaGub7dwA3U6UFTqxio9LNnvDCQjHKmttSEBsFQ/edit?usp=sharing"",""จัดที่ดิน!AE75"")"),885.86)</f>
        <v>885.86</v>
      </c>
      <c r="K370" s="48">
        <f t="shared" si="165"/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161" t="s">
        <v>33</v>
      </c>
      <c r="I371" s="170">
        <f ca="1">IFERROR(__xludf.DUMMYFUNCTION("IMPORTRANGE(""https://docs.google.com/spreadsheets/d/1eHaY18a8A9IcSdp1K8H6x8fbOy06t2VsZHhMHf-1x7Y/edit?usp=sharing"",""แผน!EY75"")"),210)</f>
        <v>210</v>
      </c>
      <c r="J371" s="170">
        <f ca="1">IFERROR(__xludf.DUMMYFUNCTION("IMPORTRANGE(""https://docs.google.com/spreadsheets/d/1tdoBKaGub7dwA3U6UFTqxio9LNnvDCQjHKmttSEBsFQ/edit?usp=sharing"",""จัดที่ดิน!AF75"")"),46)</f>
        <v>46</v>
      </c>
      <c r="K371" s="48">
        <f t="shared" ca="1" si="165"/>
        <v>21.904761904761905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16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IFERROR(__xludf.DUMMYFUNCTION("IMPORTRANGE(""https://docs.google.com/spreadsheets/d/1tdoBKaGub7dwA3U6UFTqxio9LNnvDCQjHKmttSEBsFQ/edit?usp=sharing"",""จัดที่ดิน!AG75"")"),844.81)</f>
        <v>844.81</v>
      </c>
      <c r="K372" s="48">
        <f t="shared" si="165"/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x14ac:dyDescent="0.3">
      <c r="A374" s="370" t="s">
        <v>148</v>
      </c>
      <c r="B374" s="371"/>
      <c r="C374" s="371"/>
      <c r="D374" s="371"/>
      <c r="E374" s="372"/>
      <c r="F374" s="372"/>
      <c r="G374" s="372"/>
      <c r="H374" s="372"/>
      <c r="I374" s="373"/>
      <c r="J374" s="373"/>
      <c r="K374" s="374"/>
      <c r="L374" s="374"/>
      <c r="M374" s="374"/>
      <c r="N374" s="374"/>
      <c r="O374" s="374"/>
      <c r="P374" s="375"/>
    </row>
    <row r="375" spans="1:16" ht="19.5" x14ac:dyDescent="0.3">
      <c r="A375" s="376" t="s">
        <v>149</v>
      </c>
      <c r="B375" s="377"/>
      <c r="C375" s="377"/>
      <c r="D375" s="378"/>
      <c r="E375" s="377"/>
      <c r="F375" s="377"/>
      <c r="G375" s="377"/>
      <c r="H375" s="379"/>
      <c r="I375" s="380"/>
      <c r="J375" s="380"/>
      <c r="K375" s="381"/>
      <c r="L375" s="381"/>
      <c r="M375" s="381"/>
      <c r="N375" s="381"/>
      <c r="O375" s="381"/>
      <c r="P375" s="381"/>
    </row>
    <row r="376" spans="1:16" ht="19.5" x14ac:dyDescent="0.3">
      <c r="A376" s="382"/>
      <c r="B376" s="383" t="s">
        <v>150</v>
      </c>
      <c r="C376" s="384"/>
      <c r="D376" s="385"/>
      <c r="E376" s="385"/>
      <c r="F376" s="385"/>
      <c r="G376" s="386"/>
      <c r="H376" s="387" t="s">
        <v>54</v>
      </c>
      <c r="I376" s="388">
        <f t="shared" ref="I376:J376" si="166">I388</f>
        <v>0</v>
      </c>
      <c r="J376" s="388">
        <f t="shared" si="166"/>
        <v>0</v>
      </c>
      <c r="K376" s="389">
        <f>IF(I376&gt;0,J376*100/I376,0)</f>
        <v>0</v>
      </c>
      <c r="L376" s="390"/>
      <c r="M376" s="390"/>
      <c r="N376" s="390"/>
      <c r="O376" s="390"/>
      <c r="P376" s="390"/>
    </row>
    <row r="377" spans="1:16" ht="19.5" x14ac:dyDescent="0.3">
      <c r="A377" s="391"/>
      <c r="B377" s="392"/>
      <c r="C377" s="393" t="s">
        <v>16</v>
      </c>
      <c r="D377" s="394" t="s">
        <v>17</v>
      </c>
      <c r="E377" s="392"/>
      <c r="F377" s="392"/>
      <c r="G377" s="395"/>
      <c r="H377" s="396" t="s">
        <v>12</v>
      </c>
      <c r="I377" s="397"/>
      <c r="J377" s="397"/>
      <c r="K377" s="398"/>
      <c r="L377" s="399">
        <f t="shared" ref="L377:N377" ca="1" si="167">L378+L379</f>
        <v>12445400</v>
      </c>
      <c r="M377" s="399">
        <f t="shared" ca="1" si="167"/>
        <v>0</v>
      </c>
      <c r="N377" s="399">
        <f t="shared" ca="1" si="167"/>
        <v>0</v>
      </c>
      <c r="O377" s="399">
        <f t="shared" ref="O377:O385" ca="1" si="168">IF(L377&gt;0,N377*100/L377,0)</f>
        <v>0</v>
      </c>
      <c r="P377" s="399">
        <f t="shared" ref="P377:P385" ca="1" si="169">IF(M377&gt;0,N377*100/M377,0)</f>
        <v>0</v>
      </c>
    </row>
    <row r="378" spans="1:16" ht="18.75" x14ac:dyDescent="0.25">
      <c r="A378" s="391"/>
      <c r="B378" s="392"/>
      <c r="C378" s="392"/>
      <c r="D378" s="392"/>
      <c r="E378" s="400" t="s">
        <v>18</v>
      </c>
      <c r="F378" s="392"/>
      <c r="G378" s="395"/>
      <c r="H378" s="401" t="s">
        <v>12</v>
      </c>
      <c r="I378" s="397"/>
      <c r="J378" s="397"/>
      <c r="K378" s="398"/>
      <c r="L378" s="402">
        <f t="shared" ref="L378:N378" si="170">L381+L384</f>
        <v>0</v>
      </c>
      <c r="M378" s="402">
        <f t="shared" si="170"/>
        <v>0</v>
      </c>
      <c r="N378" s="402">
        <f t="shared" si="170"/>
        <v>0</v>
      </c>
      <c r="O378" s="402">
        <f t="shared" si="168"/>
        <v>0</v>
      </c>
      <c r="P378" s="402">
        <f t="shared" si="169"/>
        <v>0</v>
      </c>
    </row>
    <row r="379" spans="1:16" ht="18.75" x14ac:dyDescent="0.25">
      <c r="A379" s="391"/>
      <c r="B379" s="392"/>
      <c r="C379" s="392"/>
      <c r="D379" s="392"/>
      <c r="E379" s="400" t="s">
        <v>19</v>
      </c>
      <c r="F379" s="392"/>
      <c r="G379" s="395"/>
      <c r="H379" s="401" t="s">
        <v>12</v>
      </c>
      <c r="I379" s="397"/>
      <c r="J379" s="397"/>
      <c r="K379" s="398"/>
      <c r="L379" s="402">
        <f t="shared" ref="L379:N379" ca="1" si="171">L382+L385</f>
        <v>12445400</v>
      </c>
      <c r="M379" s="402">
        <f t="shared" ca="1" si="171"/>
        <v>0</v>
      </c>
      <c r="N379" s="402">
        <f t="shared" ca="1" si="171"/>
        <v>0</v>
      </c>
      <c r="O379" s="402">
        <f t="shared" ca="1" si="168"/>
        <v>0</v>
      </c>
      <c r="P379" s="402">
        <f t="shared" ca="1" si="169"/>
        <v>0</v>
      </c>
    </row>
    <row r="380" spans="1:16" ht="18.75" x14ac:dyDescent="0.25">
      <c r="A380" s="391"/>
      <c r="B380" s="392"/>
      <c r="C380" s="392"/>
      <c r="D380" s="403" t="s">
        <v>20</v>
      </c>
      <c r="E380" s="392"/>
      <c r="F380" s="392"/>
      <c r="G380" s="395"/>
      <c r="H380" s="404" t="s">
        <v>12</v>
      </c>
      <c r="I380" s="405"/>
      <c r="J380" s="405"/>
      <c r="K380" s="406"/>
      <c r="L380" s="402">
        <f t="shared" ref="L380:N380" ca="1" si="172">L381+L382</f>
        <v>0</v>
      </c>
      <c r="M380" s="402">
        <f t="shared" ca="1" si="172"/>
        <v>0</v>
      </c>
      <c r="N380" s="402">
        <f t="shared" ca="1" si="172"/>
        <v>0</v>
      </c>
      <c r="O380" s="402">
        <f t="shared" ca="1" si="168"/>
        <v>0</v>
      </c>
      <c r="P380" s="402">
        <f t="shared" ca="1" si="169"/>
        <v>0</v>
      </c>
    </row>
    <row r="381" spans="1:16" ht="18.75" x14ac:dyDescent="0.25">
      <c r="A381" s="391"/>
      <c r="B381" s="392"/>
      <c r="C381" s="392"/>
      <c r="D381" s="392"/>
      <c r="E381" s="400" t="s">
        <v>34</v>
      </c>
      <c r="F381" s="392"/>
      <c r="G381" s="395"/>
      <c r="H381" s="404" t="s">
        <v>12</v>
      </c>
      <c r="I381" s="405"/>
      <c r="J381" s="405"/>
      <c r="K381" s="406"/>
      <c r="L381" s="402">
        <v>0</v>
      </c>
      <c r="M381" s="402">
        <v>0</v>
      </c>
      <c r="N381" s="402">
        <v>0</v>
      </c>
      <c r="O381" s="402">
        <f t="shared" si="168"/>
        <v>0</v>
      </c>
      <c r="P381" s="402">
        <f t="shared" si="169"/>
        <v>0</v>
      </c>
    </row>
    <row r="382" spans="1:16" ht="18.75" x14ac:dyDescent="0.25">
      <c r="A382" s="391"/>
      <c r="B382" s="392"/>
      <c r="C382" s="392"/>
      <c r="D382" s="392"/>
      <c r="E382" s="400" t="s">
        <v>35</v>
      </c>
      <c r="F382" s="392"/>
      <c r="G382" s="395"/>
      <c r="H382" s="404" t="s">
        <v>12</v>
      </c>
      <c r="I382" s="405"/>
      <c r="J382" s="405"/>
      <c r="K382" s="406"/>
      <c r="L382" s="402">
        <f ca="1">IFERROR(__xludf.DUMMYFUNCTION("IMPORTRANGE(""https://docs.google.com/spreadsheets/d/1-uDff_7J0KD5mKrp0Vvzr7lt3OU09vwQwhkpOPPYv2Y/edit?usp=sharing"",""งบพรบ!FM75"")"),0)</f>
        <v>0</v>
      </c>
      <c r="M382" s="402">
        <f ca="1">IFERROR(__xludf.DUMMYFUNCTION("IMPORTRANGE(""https://docs.google.com/spreadsheets/d/1-uDff_7J0KD5mKrp0Vvzr7lt3OU09vwQwhkpOPPYv2Y/edit?usp=sharing"",""งบพรบ!FR75"")"),0)</f>
        <v>0</v>
      </c>
      <c r="N382" s="402">
        <f ca="1">IFERROR(__xludf.DUMMYFUNCTION("IMPORTRANGE(""https://docs.google.com/spreadsheets/d/1-uDff_7J0KD5mKrp0Vvzr7lt3OU09vwQwhkpOPPYv2Y/edit?usp=sharing"",""งบพรบ!FT75"")"),0)</f>
        <v>0</v>
      </c>
      <c r="O382" s="402">
        <f t="shared" ca="1" si="168"/>
        <v>0</v>
      </c>
      <c r="P382" s="402">
        <f t="shared" ca="1" si="169"/>
        <v>0</v>
      </c>
    </row>
    <row r="383" spans="1:16" ht="18.75" x14ac:dyDescent="0.25">
      <c r="A383" s="391"/>
      <c r="B383" s="392"/>
      <c r="C383" s="392"/>
      <c r="D383" s="403" t="s">
        <v>21</v>
      </c>
      <c r="E383" s="392"/>
      <c r="F383" s="392"/>
      <c r="G383" s="395"/>
      <c r="H383" s="407" t="s">
        <v>12</v>
      </c>
      <c r="I383" s="405"/>
      <c r="J383" s="405"/>
      <c r="K383" s="406"/>
      <c r="L383" s="402">
        <f t="shared" ref="L383:N383" ca="1" si="173">L384+L385</f>
        <v>12445400</v>
      </c>
      <c r="M383" s="402">
        <f t="shared" ca="1" si="173"/>
        <v>0</v>
      </c>
      <c r="N383" s="402">
        <f t="shared" ca="1" si="173"/>
        <v>0</v>
      </c>
      <c r="O383" s="402">
        <f t="shared" ca="1" si="168"/>
        <v>0</v>
      </c>
      <c r="P383" s="402">
        <f t="shared" ca="1" si="169"/>
        <v>0</v>
      </c>
    </row>
    <row r="384" spans="1:16" ht="18.75" x14ac:dyDescent="0.25">
      <c r="A384" s="391"/>
      <c r="B384" s="392"/>
      <c r="C384" s="392"/>
      <c r="D384" s="392"/>
      <c r="E384" s="400" t="s">
        <v>18</v>
      </c>
      <c r="F384" s="392"/>
      <c r="G384" s="395"/>
      <c r="H384" s="404" t="s">
        <v>12</v>
      </c>
      <c r="I384" s="405"/>
      <c r="J384" s="405"/>
      <c r="K384" s="406"/>
      <c r="L384" s="402">
        <v>0</v>
      </c>
      <c r="M384" s="402">
        <v>0</v>
      </c>
      <c r="N384" s="402">
        <v>0</v>
      </c>
      <c r="O384" s="402">
        <f t="shared" si="168"/>
        <v>0</v>
      </c>
      <c r="P384" s="402">
        <f t="shared" si="169"/>
        <v>0</v>
      </c>
    </row>
    <row r="385" spans="1:16" ht="18.75" x14ac:dyDescent="0.25">
      <c r="A385" s="391"/>
      <c r="B385" s="392"/>
      <c r="C385" s="392"/>
      <c r="D385" s="392"/>
      <c r="E385" s="400" t="s">
        <v>19</v>
      </c>
      <c r="F385" s="392"/>
      <c r="G385" s="395"/>
      <c r="H385" s="407" t="s">
        <v>12</v>
      </c>
      <c r="I385" s="405"/>
      <c r="J385" s="405"/>
      <c r="K385" s="406"/>
      <c r="L385" s="402">
        <f ca="1">IFERROR(__xludf.DUMMYFUNCTION("IMPORTRANGE(""https://docs.google.com/spreadsheets/d/1-uDff_7J0KD5mKrp0Vvzr7lt3OU09vwQwhkpOPPYv2Y/edit?usp=sharing"",""งบพรบ!FP75"")"),12445400)</f>
        <v>12445400</v>
      </c>
      <c r="M385" s="402">
        <f ca="1">IFERROR(__xludf.DUMMYFUNCTION("IMPORTRANGE(""https://docs.google.com/spreadsheets/d/1-uDff_7J0KD5mKrp0Vvzr7lt3OU09vwQwhkpOPPYv2Y/edit?usp=sharing"",""งบพรบ!FS75"")"),0)</f>
        <v>0</v>
      </c>
      <c r="N385" s="402">
        <f ca="1">IFERROR(__xludf.DUMMYFUNCTION("IMPORTRANGE(""https://docs.google.com/spreadsheets/d/1-uDff_7J0KD5mKrp0Vvzr7lt3OU09vwQwhkpOPPYv2Y/edit?usp=sharing"",""งบพรบ!FU75"")"),0)</f>
        <v>0</v>
      </c>
      <c r="O385" s="402">
        <f t="shared" ca="1" si="168"/>
        <v>0</v>
      </c>
      <c r="P385" s="402">
        <f t="shared" ca="1" si="169"/>
        <v>0</v>
      </c>
    </row>
    <row r="386" spans="1:16" ht="19.5" x14ac:dyDescent="0.3">
      <c r="A386" s="408"/>
      <c r="B386" s="409"/>
      <c r="C386" s="393" t="s">
        <v>16</v>
      </c>
      <c r="D386" s="410" t="s">
        <v>36</v>
      </c>
      <c r="E386" s="411"/>
      <c r="F386" s="411"/>
      <c r="G386" s="412"/>
      <c r="H386" s="413"/>
      <c r="I386" s="405"/>
      <c r="J386" s="397"/>
      <c r="K386" s="398"/>
      <c r="L386" s="398"/>
      <c r="M386" s="398"/>
      <c r="N386" s="398"/>
      <c r="O386" s="406"/>
      <c r="P386" s="406"/>
    </row>
    <row r="387" spans="1:16" ht="18.75" x14ac:dyDescent="0.25">
      <c r="A387" s="414"/>
      <c r="B387" s="392"/>
      <c r="C387" s="415"/>
      <c r="D387" s="416" t="s">
        <v>151</v>
      </c>
      <c r="E387" s="409"/>
      <c r="F387" s="392"/>
      <c r="G387" s="395"/>
      <c r="H387" s="417" t="s">
        <v>9</v>
      </c>
      <c r="I387" s="418">
        <v>0</v>
      </c>
      <c r="J387" s="419">
        <v>0</v>
      </c>
      <c r="K387" s="402">
        <f t="shared" ref="K387:K388" si="174">IF(I387&gt;0,J387*100/I387,0)</f>
        <v>0</v>
      </c>
      <c r="L387" s="398"/>
      <c r="M387" s="398"/>
      <c r="N387" s="398"/>
      <c r="O387" s="398"/>
      <c r="P387" s="398"/>
    </row>
    <row r="388" spans="1:16" ht="18.75" x14ac:dyDescent="0.25">
      <c r="A388" s="420"/>
      <c r="B388" s="421"/>
      <c r="C388" s="422"/>
      <c r="D388" s="423" t="s">
        <v>152</v>
      </c>
      <c r="E388" s="424"/>
      <c r="F388" s="421"/>
      <c r="G388" s="425"/>
      <c r="H388" s="426" t="s">
        <v>54</v>
      </c>
      <c r="I388" s="427">
        <v>0</v>
      </c>
      <c r="J388" s="428">
        <v>0</v>
      </c>
      <c r="K388" s="429">
        <f t="shared" si="174"/>
        <v>0</v>
      </c>
      <c r="L388" s="430"/>
      <c r="M388" s="430"/>
      <c r="N388" s="430"/>
      <c r="O388" s="430"/>
      <c r="P388" s="430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L5:M5"/>
    <mergeCell ref="N5:P5"/>
    <mergeCell ref="A1:P1"/>
    <mergeCell ref="A2:P2"/>
    <mergeCell ref="A3:P3"/>
    <mergeCell ref="A5:G6"/>
    <mergeCell ref="I5:K5"/>
    <mergeCell ref="A7:G7"/>
    <mergeCell ref="A17:G17"/>
    <mergeCell ref="A30:G30"/>
    <mergeCell ref="A56:G56"/>
    <mergeCell ref="B57:G57"/>
  </mergeCells>
  <pageMargins left="0.23622047244094491" right="0.23622047244094491" top="0.55118110236220474" bottom="0.55118110236220474" header="0.31496062992125984" footer="0.31496062992125984"/>
  <pageSetup paperSize="9" scale="43" orientation="portrait" r:id="rId1"/>
  <headerFooter>
    <oddFooter>&amp;Cหน้า 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33595-0268-4C88-B746-F89FF655FD98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1.28515625" bestFit="1" customWidth="1"/>
    <col min="11" max="11" width="12.28515625" bestFit="1" customWidth="1"/>
    <col min="12" max="12" width="20.7109375" bestFit="1" customWidth="1"/>
    <col min="13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164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1180995</v>
      </c>
      <c r="M18" s="34">
        <f ca="1">M19+M20</f>
        <v>928595</v>
      </c>
      <c r="N18" s="34">
        <f ca="1">N19+N20</f>
        <v>318575.78000000003</v>
      </c>
      <c r="O18" s="34">
        <f ca="1">IF(L18&gt;0,N18*100/L18,0)</f>
        <v>26.975201419142337</v>
      </c>
      <c r="P18" s="34">
        <f ca="1">IF(M18&gt;0,N18*100/M18,0)</f>
        <v>34.307290045714225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1180995</v>
      </c>
      <c r="M20" s="40">
        <f ca="1">M23+M26</f>
        <v>928595</v>
      </c>
      <c r="N20" s="40">
        <f ca="1">N23+N26</f>
        <v>318575.78000000003</v>
      </c>
      <c r="O20" s="40">
        <f ca="1">IF(L20&gt;0,N20*100/L20,0)</f>
        <v>26.975201419142337</v>
      </c>
      <c r="P20" s="40">
        <f ca="1">IF(M20&gt;0,N20*100/M20,0)</f>
        <v>34.307290045714225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1180995</v>
      </c>
      <c r="M21" s="48">
        <f ca="1">M22+M23</f>
        <v>928595</v>
      </c>
      <c r="N21" s="48">
        <f ca="1">N22+N23</f>
        <v>318575.78000000003</v>
      </c>
      <c r="O21" s="48">
        <f ca="1">IF(L21&gt;0,N21*100/L21,0)</f>
        <v>26.975201419142337</v>
      </c>
      <c r="P21" s="48">
        <f ca="1">IF(M21&gt;0,N21*100/M21,0)</f>
        <v>34.307290045714225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1180995</v>
      </c>
      <c r="M23" s="48">
        <f ca="1">M49+M64+M77+M99+M130+M144+M162+M191+M178+M271+M287+M308+M325+M338+M361+M382</f>
        <v>928595</v>
      </c>
      <c r="N23" s="48">
        <f ca="1">N49+N64+N77+N99+N130+N144+N162+N191+N178+N271+N287+N308+N325+N338+N361+N382</f>
        <v>318575.78000000003</v>
      </c>
      <c r="O23" s="48">
        <f ca="1">IF(L23&gt;0,N23*100/L23,0)</f>
        <v>26.975201419142337</v>
      </c>
      <c r="P23" s="48">
        <f ca="1">IF(M23&gt;0,N23*100/M23,0)</f>
        <v>34.307290045714225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1180995</v>
      </c>
      <c r="M40" s="65">
        <f ca="1">M44+M59+M72+M94+M125+M139+M157+M173+M186+M266+M282+M303+M320+M333+M356</f>
        <v>928595</v>
      </c>
      <c r="N40" s="65">
        <f ca="1">N44+N59+N72+N94+N125+N139+N157+N173+N186+N266+N282+N303+N320+N333+N356</f>
        <v>318575.78000000003</v>
      </c>
      <c r="O40" s="65">
        <f ca="1">IF(L40&gt;0,N40*100/L40,0)</f>
        <v>26.975201419142337</v>
      </c>
      <c r="P40" s="65">
        <f ca="1">IF(M40&gt;0,N40*100/M40,0)</f>
        <v>34.307290045714225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132100</v>
      </c>
      <c r="M44" s="84">
        <f ca="1">M45+M46</f>
        <v>132100</v>
      </c>
      <c r="N44" s="84">
        <f ca="1">N45+N46</f>
        <v>43500</v>
      </c>
      <c r="O44" s="84">
        <f ca="1">IF(L44&gt;0,N44*100/L44,0)</f>
        <v>32.929598788796369</v>
      </c>
      <c r="P44" s="84">
        <f ca="1">IF(M44&gt;0,N44*100/M44,0)</f>
        <v>32.929598788796369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132100</v>
      </c>
      <c r="M46" s="90">
        <f ca="1">M49+M52</f>
        <v>132100</v>
      </c>
      <c r="N46" s="90">
        <f ca="1">N49+N52</f>
        <v>43500</v>
      </c>
      <c r="O46" s="90">
        <f ca="1">IF(L46&gt;0,N46*100/L46,0)</f>
        <v>32.929598788796369</v>
      </c>
      <c r="P46" s="90">
        <f ca="1">IF(M46&gt;0,N46*100/M46,0)</f>
        <v>32.929598788796369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132100</v>
      </c>
      <c r="M47" s="48">
        <f ca="1">M48+M49</f>
        <v>132100</v>
      </c>
      <c r="N47" s="48">
        <f ca="1">N48+N49</f>
        <v>43500</v>
      </c>
      <c r="O47" s="48">
        <f ca="1">IF(L47&gt;0,N47*100/L47,0)</f>
        <v>32.929598788796369</v>
      </c>
      <c r="P47" s="48">
        <f ca="1">IF(M47&gt;0,N47*100/M47,0)</f>
        <v>32.929598788796369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IFERROR(__xludf.DUMMYFUNCTION("IMPORTRANGE(""https://docs.google.com/spreadsheets/d/1-uDff_7J0KD5mKrp0Vvzr7lt3OU09vwQwhkpOPPYv2Y/edit?usp=sharing"",""งบพรบ!P84"")"),132100)</f>
        <v>132100</v>
      </c>
      <c r="M49" s="48">
        <f ca="1">IFERROR(__xludf.DUMMYFUNCTION("IMPORTRANGE(""https://docs.google.com/spreadsheets/d/1-uDff_7J0KD5mKrp0Vvzr7lt3OU09vwQwhkpOPPYv2Y/edit?usp=sharing"",""งบพรบ!V84"")"),132100)</f>
        <v>132100</v>
      </c>
      <c r="N49" s="48">
        <f ca="1">IFERROR(__xludf.DUMMYFUNCTION("IMPORTRANGE(""https://docs.google.com/spreadsheets/d/1-uDff_7J0KD5mKrp0Vvzr7lt3OU09vwQwhkpOPPYv2Y/edit?usp=sharing"",""งบพรบ!Y84"")"),43500)</f>
        <v>43500</v>
      </c>
      <c r="O49" s="48">
        <f ca="1">IF(L49&gt;0,N49*100/L49,0)</f>
        <v>32.929598788796369</v>
      </c>
      <c r="P49" s="48">
        <f ca="1">IF(M49&gt;0,N49*100/M49,0)</f>
        <v>32.929598788796369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IFERROR(__xludf.DUMMYFUNCTION("IMPORTRANGE(""https://docs.google.com/spreadsheets/d/1-uDff_7J0KD5mKrp0Vvzr7lt3OU09vwQwhkpOPPYv2Y/edit?usp=sharing"",""งบพรบ!S84"")"),0)</f>
        <v>0</v>
      </c>
      <c r="M52" s="48">
        <f ca="1">IFERROR(__xludf.DUMMYFUNCTION("IMPORTRANGE(""https://docs.google.com/spreadsheets/d/1-uDff_7J0KD5mKrp0Vvzr7lt3OU09vwQwhkpOPPYv2Y/edit?usp=sharing"",""งบพรบ!W84"")"),0)</f>
        <v>0</v>
      </c>
      <c r="N52" s="48">
        <f ca="1">IFERROR(__xludf.DUMMYFUNCTION("IMPORTRANGE(""https://docs.google.com/spreadsheets/d/1-uDff_7J0KD5mKrp0Vvzr7lt3OU09vwQwhkpOPPYv2Y/edit?usp=sharing"",""งบพรบ!Z84"")"),0)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388700</v>
      </c>
      <c r="M59" s="113">
        <f ca="1">M60+M61</f>
        <v>293550</v>
      </c>
      <c r="N59" s="113">
        <f ca="1">N60+N61</f>
        <v>193090.78</v>
      </c>
      <c r="O59" s="113">
        <f ca="1">IF(L59&gt;0,N59*100/L59,0)</f>
        <v>49.676043220993051</v>
      </c>
      <c r="P59" s="113">
        <f ca="1">IF(M59&gt;0,N59*100/M59,0)</f>
        <v>65.777816385624249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388700</v>
      </c>
      <c r="M61" s="119">
        <f ca="1">M64+M67</f>
        <v>293550</v>
      </c>
      <c r="N61" s="119">
        <f ca="1">N64+N67</f>
        <v>193090.78</v>
      </c>
      <c r="O61" s="119">
        <f ca="1">IF(L61&gt;0,N61*100/L61,0)</f>
        <v>49.676043220993051</v>
      </c>
      <c r="P61" s="119">
        <f ca="1">IF(M61&gt;0,N61*100/M61,0)</f>
        <v>65.777816385624249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388700</v>
      </c>
      <c r="M62" s="48">
        <f ca="1">M63+M64</f>
        <v>293550</v>
      </c>
      <c r="N62" s="48">
        <f ca="1">N63+N64</f>
        <v>193090.78</v>
      </c>
      <c r="O62" s="48">
        <f ca="1">IF(L62&gt;0,N62*100/L62,0)</f>
        <v>49.676043220993051</v>
      </c>
      <c r="P62" s="48">
        <f ca="1">IF(M62&gt;0,N62*100/M62,0)</f>
        <v>65.777816385624249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IFERROR(__xludf.DUMMYFUNCTION("IMPORTRANGE(""https://docs.google.com/spreadsheets/d/1-uDff_7J0KD5mKrp0Vvzr7lt3OU09vwQwhkpOPPYv2Y/edit?usp=sharing"",""งบพรบ!AC84"")"),388700)</f>
        <v>388700</v>
      </c>
      <c r="M64" s="48">
        <f ca="1">IFERROR(__xludf.DUMMYFUNCTION("IMPORTRANGE(""https://docs.google.com/spreadsheets/d/1-uDff_7J0KD5mKrp0Vvzr7lt3OU09vwQwhkpOPPYv2Y/edit?usp=sharing"",""งบพรบ!AH84"")"),293550)</f>
        <v>293550</v>
      </c>
      <c r="N64" s="48">
        <f ca="1">IFERROR(__xludf.DUMMYFUNCTION("IMPORTRANGE(""https://docs.google.com/spreadsheets/d/1-uDff_7J0KD5mKrp0Vvzr7lt3OU09vwQwhkpOPPYv2Y/edit?usp=sharing"",""งบพรบ!AJ84"")"),193090.78)</f>
        <v>193090.78</v>
      </c>
      <c r="O64" s="48">
        <f ca="1">IF(L64&gt;0,N64*100/L64,0)</f>
        <v>49.676043220993051</v>
      </c>
      <c r="P64" s="48">
        <f ca="1">IF(M64&gt;0,N64*100/M64,0)</f>
        <v>65.777816385624249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IFERROR(__xludf.DUMMYFUNCTION("IMPORTRANGE(""https://docs.google.com/spreadsheets/d/1-uDff_7J0KD5mKrp0Vvzr7lt3OU09vwQwhkpOPPYv2Y/edit?usp=sharing"",""งบพรบ!AF84"")"),0)</f>
        <v>0</v>
      </c>
      <c r="M67" s="59">
        <f ca="1">IFERROR(__xludf.DUMMYFUNCTION("IMPORTRANGE(""https://docs.google.com/spreadsheets/d/1-uDff_7J0KD5mKrp0Vvzr7lt3OU09vwQwhkpOPPYv2Y/edit?usp=sharing"",""งบพรบ!AI84"")"),0)</f>
        <v>0</v>
      </c>
      <c r="N67" s="59">
        <f ca="1">IFERROR(__xludf.DUMMYFUNCTION("IMPORTRANGE(""https://docs.google.com/spreadsheets/d/1-uDff_7J0KD5mKrp0Vvzr7lt3OU09vwQwhkpOPPYv2Y/edit?usp=sharing"",""งบพรบ!AK84"")"),0)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hidden="1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IFERROR(__xludf.DUMMYFUNCTION("IMPORTRANGE(""https://docs.google.com/spreadsheets/d/1-uDff_7J0KD5mKrp0Vvzr7lt3OU09vwQwhkpOPPYv2Y/edit?usp=sharing"",""งบพรบ!AM84"")"),0)</f>
        <v>0</v>
      </c>
      <c r="M77" s="48">
        <f ca="1">IFERROR(__xludf.DUMMYFUNCTION("IMPORTRANGE(""https://docs.google.com/spreadsheets/d/1-uDff_7J0KD5mKrp0Vvzr7lt3OU09vwQwhkpOPPYv2Y/edit?usp=sharing"",""งบพรบ!AR84"")"),0)</f>
        <v>0</v>
      </c>
      <c r="N77" s="48">
        <f ca="1">IFERROR(__xludf.DUMMYFUNCTION("IMPORTRANGE(""https://docs.google.com/spreadsheets/d/1-uDff_7J0KD5mKrp0Vvzr7lt3OU09vwQwhkpOPPYv2Y/edit?usp=sharing"",""งบพรบ!AT84"")"),0)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IFERROR(__xludf.DUMMYFUNCTION("IMPORTRANGE(""https://docs.google.com/spreadsheets/d/1-uDff_7J0KD5mKrp0Vvzr7lt3OU09vwQwhkpOPPYv2Y/edit?usp=sharing"",""งบพรบ!AP84"")"),0)</f>
        <v>0</v>
      </c>
      <c r="M80" s="48">
        <f ca="1">IFERROR(__xludf.DUMMYFUNCTION("IMPORTRANGE(""https://docs.google.com/spreadsheets/d/1-uDff_7J0KD5mKrp0Vvzr7lt3OU09vwQwhkpOPPYv2Y/edit?usp=sharing"",""งบพรบ!AS84"")"),0)</f>
        <v>0</v>
      </c>
      <c r="N80" s="48">
        <f ca="1">IFERROR(__xludf.DUMMYFUNCTION("IMPORTRANGE(""https://docs.google.com/spreadsheets/d/1-uDff_7J0KD5mKrp0Vvzr7lt3OU09vwQwhkpOPPYv2Y/edit?usp=sharing"",""งบพรบ!AU84"")"),0)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IFERROR(__xludf.DUMMYFUNCTION("IMPORTRANGE(""https://docs.google.com/spreadsheets/d/1eHaY18a8A9IcSdp1K8H6x8fbOy06t2VsZHhMHf-1x7Y/edit?usp=sharing"",""แผน!H84"")"),0)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IFERROR(__xludf.DUMMYFUNCTION("IMPORTRANGE(""https://docs.google.com/spreadsheets/d/1eHaY18a8A9IcSdp1K8H6x8fbOy06t2VsZHhMHf-1x7Y/edit?usp=sharing"",""แผน!I84"")"),0)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IFERROR(__xludf.DUMMYFUNCTION("IMPORTRANGE(""https://docs.google.com/spreadsheets/d/1eHaY18a8A9IcSdp1K8H6x8fbOy06t2VsZHhMHf-1x7Y/edit?usp=sharing"",""แผน!F84"")"),0)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IFERROR(__xludf.DUMMYFUNCTION("IMPORTRANGE(""https://docs.google.com/spreadsheets/d/1eHaY18a8A9IcSdp1K8H6x8fbOy06t2VsZHhMHf-1x7Y/edit?usp=sharing"",""แผน!G84"")"),0)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IFERROR(__xludf.DUMMYFUNCTION("IMPORTRANGE(""https://docs.google.com/spreadsheets/d/1eHaY18a8A9IcSdp1K8H6x8fbOy06t2VsZHhMHf-1x7Y/edit?usp=sharing"",""แผน!D84"")"),0)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IFERROR(__xludf.DUMMYFUNCTION("IMPORTRANGE(""https://docs.google.com/spreadsheets/d/1eHaY18a8A9IcSdp1K8H6x8fbOy06t2VsZHhMHf-1x7Y/edit?usp=sharing"",""แผน!E84"")"),0)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IFERROR(__xludf.DUMMYFUNCTION("IMPORTRANGE(""https://docs.google.com/spreadsheets/d/1eHaY18a8A9IcSdp1K8H6x8fbOy06t2VsZHhMHf-1x7Y/edit?usp=sharing"",""แผน!J84"")"),0)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IFERROR(__xludf.DUMMYFUNCTION("IMPORTRANGE(""https://docs.google.com/spreadsheets/d/1-uDff_7J0KD5mKrp0Vvzr7lt3OU09vwQwhkpOPPYv2Y/edit?usp=sharing"",""งบพรบ!AW84"")"),0)</f>
        <v>0</v>
      </c>
      <c r="M99" s="48">
        <f ca="1">IFERROR(__xludf.DUMMYFUNCTION("IMPORTRANGE(""https://docs.google.com/spreadsheets/d/1-uDff_7J0KD5mKrp0Vvzr7lt3OU09vwQwhkpOPPYv2Y/edit?usp=sharing"",""งบพรบ!BB84"")"),0)</f>
        <v>0</v>
      </c>
      <c r="N99" s="48">
        <f ca="1">IFERROR(__xludf.DUMMYFUNCTION("IMPORTRANGE(""https://docs.google.com/spreadsheets/d/1-uDff_7J0KD5mKrp0Vvzr7lt3OU09vwQwhkpOPPYv2Y/edit?usp=sharing"",""งบพรบ!BD84"")"),0)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IFERROR(__xludf.DUMMYFUNCTION("IMPORTRANGE(""https://docs.google.com/spreadsheets/d/1-uDff_7J0KD5mKrp0Vvzr7lt3OU09vwQwhkpOPPYv2Y/edit?usp=sharing"",""งบพรบ!AZ84"")"),0)</f>
        <v>0</v>
      </c>
      <c r="M102" s="48">
        <f ca="1">IFERROR(__xludf.DUMMYFUNCTION("IMPORTRANGE(""https://docs.google.com/spreadsheets/d/1-uDff_7J0KD5mKrp0Vvzr7lt3OU09vwQwhkpOPPYv2Y/edit?usp=sharing"",""งบพรบ!BC84"")"),0)</f>
        <v>0</v>
      </c>
      <c r="N102" s="48">
        <f ca="1">IFERROR(__xludf.DUMMYFUNCTION("IMPORTRANGE(""https://docs.google.com/spreadsheets/d/1-uDff_7J0KD5mKrp0Vvzr7lt3OU09vwQwhkpOPPYv2Y/edit?usp=sharing"",""งบพรบ!BE84"")"),0)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IFERROR(__xludf.DUMMYFUNCTION("IMPORTRANGE(""https://docs.google.com/spreadsheets/d/1eHaY18a8A9IcSdp1K8H6x8fbOy06t2VsZHhMHf-1x7Y/edit?usp=sharing"",""แผน!N84"")"),0)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IFERROR(__xludf.DUMMYFUNCTION("IMPORTRANGE(""https://docs.google.com/spreadsheets/d/1eHaY18a8A9IcSdp1K8H6x8fbOy06t2VsZHhMHf-1x7Y/edit?usp=sharing"",""แผน!O84"")"),0)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IFERROR(__xludf.DUMMYFUNCTION("IMPORTRANGE(""https://docs.google.com/spreadsheets/d/1eHaY18a8A9IcSdp1K8H6x8fbOy06t2VsZHhMHf-1x7Y/edit?usp=sharing"",""แผน!R84"")"),0)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IFERROR(__xludf.DUMMYFUNCTION("IMPORTRANGE(""https://docs.google.com/spreadsheets/d/1-uDff_7J0KD5mKrp0Vvzr7lt3OU09vwQwhkpOPPYv2Y/edit?usp=sharing"",""งบพรบ!BG84"")"),0)</f>
        <v>0</v>
      </c>
      <c r="M130" s="178">
        <f ca="1">IFERROR(__xludf.DUMMYFUNCTION("IMPORTRANGE(""https://docs.google.com/spreadsheets/d/1-uDff_7J0KD5mKrp0Vvzr7lt3OU09vwQwhkpOPPYv2Y/edit?usp=sharing"",""งบพรบ!BL84"")"),0)</f>
        <v>0</v>
      </c>
      <c r="N130" s="178">
        <f ca="1">IFERROR(__xludf.DUMMYFUNCTION("IMPORTRANGE(""https://docs.google.com/spreadsheets/d/1-uDff_7J0KD5mKrp0Vvzr7lt3OU09vwQwhkpOPPYv2Y/edit?usp=sharing"",""งบพรบ!BN84"")"),0)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IFERROR(__xludf.DUMMYFUNCTION("IMPORTRANGE(""https://docs.google.com/spreadsheets/d/1-uDff_7J0KD5mKrp0Vvzr7lt3OU09vwQwhkpOPPYv2Y/edit?usp=sharing"",""งบพรบ!BJ84"")"),0)</f>
        <v>0</v>
      </c>
      <c r="M133" s="178">
        <f ca="1">IFERROR(__xludf.DUMMYFUNCTION("IMPORTRANGE(""https://docs.google.com/spreadsheets/d/1-uDff_7J0KD5mKrp0Vvzr7lt3OU09vwQwhkpOPPYv2Y/edit?usp=sharing"",""งบพรบ!BM84"")"),0)</f>
        <v>0</v>
      </c>
      <c r="N133" s="178">
        <f ca="1">IFERROR(__xludf.DUMMYFUNCTION("IMPORTRANGE(""https://docs.google.com/spreadsheets/d/1-uDff_7J0KD5mKrp0Vvzr7lt3OU09vwQwhkpOPPYv2Y/edit?usp=sharing"",""งบพรบ!BO84"")"),0)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hidden="1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hidden="1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hidden="1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hidden="1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hidden="1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0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hidden="1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0</v>
      </c>
      <c r="M139" s="141">
        <f ca="1">M140+M141</f>
        <v>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hidden="1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0</v>
      </c>
      <c r="M141" s="48">
        <f ca="1">M144+M147</f>
        <v>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hidden="1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0</v>
      </c>
      <c r="M142" s="48">
        <f ca="1">M143+M144</f>
        <v>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hidden="1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IFERROR(__xludf.DUMMYFUNCTION("IMPORTRANGE(""https://docs.google.com/spreadsheets/d/1-uDff_7J0KD5mKrp0Vvzr7lt3OU09vwQwhkpOPPYv2Y/edit?usp=sharing"",""งบพรบ!BQ84"")"),0)</f>
        <v>0</v>
      </c>
      <c r="M144" s="48">
        <f ca="1">IFERROR(__xludf.DUMMYFUNCTION("IMPORTRANGE(""https://docs.google.com/spreadsheets/d/1-uDff_7J0KD5mKrp0Vvzr7lt3OU09vwQwhkpOPPYv2Y/edit?usp=sharing"",""งบพรบ!BV84"")"),0)</f>
        <v>0</v>
      </c>
      <c r="N144" s="48">
        <f ca="1">IFERROR(__xludf.DUMMYFUNCTION("IMPORTRANGE(""https://docs.google.com/spreadsheets/d/1-uDff_7J0KD5mKrp0Vvzr7lt3OU09vwQwhkpOPPYv2Y/edit?usp=sharing"",""งบพรบ!BX84"")"),0)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hidden="1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hidden="1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IFERROR(__xludf.DUMMYFUNCTION("IMPORTRANGE(""https://docs.google.com/spreadsheets/d/1-uDff_7J0KD5mKrp0Vvzr7lt3OU09vwQwhkpOPPYv2Y/edit?usp=sharing"",""งบพรบ!BT84"")"),0)</f>
        <v>0</v>
      </c>
      <c r="M147" s="48">
        <f ca="1">IFERROR(__xludf.DUMMYFUNCTION("IMPORTRANGE(""https://docs.google.com/spreadsheets/d/1-uDff_7J0KD5mKrp0Vvzr7lt3OU09vwQwhkpOPPYv2Y/edit?usp=sharing"",""งบพรบ!BW84"")"),0)</f>
        <v>0</v>
      </c>
      <c r="N147" s="48">
        <f ca="1">IFERROR(__xludf.DUMMYFUNCTION("IMPORTRANGE(""https://docs.google.com/spreadsheets/d/1-uDff_7J0KD5mKrp0Vvzr7lt3OU09vwQwhkpOPPYv2Y/edit?usp=sharing"",""งบพรบ!BY84"")"),0)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hidden="1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hidden="1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hidden="1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IFERROR(__xludf.DUMMYFUNCTION("IMPORTRANGE(""https://docs.google.com/spreadsheets/d/1eHaY18a8A9IcSdp1K8H6x8fbOy06t2VsZHhMHf-1x7Y/edit?usp=sharing"",""แผน!U84"")"),0)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hidden="1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IFERROR(__xludf.DUMMYFUNCTION("IMPORTRANGE(""https://docs.google.com/spreadsheets/d/1eHaY18a8A9IcSdp1K8H6x8fbOy06t2VsZHhMHf-1x7Y/edit?usp=sharing"",""แผน!V84"")"),0)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hidden="1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IFERROR(__xludf.DUMMYFUNCTION("IMPORTRANGE(""https://docs.google.com/spreadsheets/d/1eHaY18a8A9IcSdp1K8H6x8fbOy06t2VsZHhMHf-1x7Y/edit?usp=sharing"",""แผน!W84"")"),0)</f>
        <v>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hidden="1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IFERROR(__xludf.DUMMYFUNCTION("IMPORTRANGE(""https://docs.google.com/spreadsheets/d/1eHaY18a8A9IcSdp1K8H6x8fbOy06t2VsZHhMHf-1x7Y/edit?usp=sharing"",""แผน!X84"")"),0)</f>
        <v>0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hidden="1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IFERROR(__xludf.DUMMYFUNCTION("IMPORTRANGE(""https://docs.google.com/spreadsheets/d/1eHaY18a8A9IcSdp1K8H6x8fbOy06t2VsZHhMHf-1x7Y/edit?usp=sharing"",""แผน!Y84"")"),0)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IFERROR(__xludf.DUMMYFUNCTION("IMPORTRANGE(""https://docs.google.com/spreadsheets/d/1-uDff_7J0KD5mKrp0Vvzr7lt3OU09vwQwhkpOPPYv2Y/edit?usp=sharing"",""งบพรบ!CA84"")"),0)</f>
        <v>0</v>
      </c>
      <c r="M162" s="48">
        <f ca="1">IFERROR(__xludf.DUMMYFUNCTION("IMPORTRANGE(""https://docs.google.com/spreadsheets/d/1-uDff_7J0KD5mKrp0Vvzr7lt3OU09vwQwhkpOPPYv2Y/edit?usp=sharing"",""งบพรบ!CF84"")"),0)</f>
        <v>0</v>
      </c>
      <c r="N162" s="48">
        <f ca="1">IFERROR(__xludf.DUMMYFUNCTION("IMPORTRANGE(""https://docs.google.com/spreadsheets/d/1-uDff_7J0KD5mKrp0Vvzr7lt3OU09vwQwhkpOPPYv2Y/edit?usp=sharing"",""งบพรบ!CH84"")"),0)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IFERROR(__xludf.DUMMYFUNCTION("IMPORTRANGE(""https://docs.google.com/spreadsheets/d/1-uDff_7J0KD5mKrp0Vvzr7lt3OU09vwQwhkpOPPYv2Y/edit?usp=sharing"",""งบพรบ!CD84"")"),0)</f>
        <v>0</v>
      </c>
      <c r="M165" s="48">
        <f ca="1">IFERROR(__xludf.DUMMYFUNCTION("IMPORTRANGE(""https://docs.google.com/spreadsheets/d/1-uDff_7J0KD5mKrp0Vvzr7lt3OU09vwQwhkpOPPYv2Y/edit?usp=sharing"",""งบพรบ!CG84"")"),0)</f>
        <v>0</v>
      </c>
      <c r="N165" s="48">
        <f ca="1">IFERROR(__xludf.DUMMYFUNCTION("IMPORTRANGE(""https://docs.google.com/spreadsheets/d/1-uDff_7J0KD5mKrp0Vvzr7lt3OU09vwQwhkpOPPYv2Y/edit?usp=sharing"",""งบพรบ!CI84"")"),0)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IFERROR(__xludf.DUMMYFUNCTION("IMPORTRANGE(""https://docs.google.com/spreadsheets/d/1eHaY18a8A9IcSdp1K8H6x8fbOy06t2VsZHhMHf-1x7Y/edit?usp=sharing"",""แผน!Z84"")"),0)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IFERROR(__xludf.DUMMYFUNCTION("IMPORTRANGE(""https://docs.google.com/spreadsheets/d/1eHaY18a8A9IcSdp1K8H6x8fbOy06t2VsZHhMHf-1x7Y/edit?usp=sharing"",""แผน!Z84"")"),0)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IFERROR(__xludf.DUMMYFUNCTION("IMPORTRANGE(""https://docs.google.com/spreadsheets/d/1eHaY18a8A9IcSdp1K8H6x8fbOy06t2VsZHhMHf-1x7Y/edit?usp=sharing"",""แผน!Z84"")"),0)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0</v>
      </c>
      <c r="O173" s="141">
        <f ca="1">IF(L173&gt;0,N173*100/L173,0)</f>
        <v>0</v>
      </c>
      <c r="P173" s="141">
        <f ca="1">IF(M173&gt;0,N173*100/M173,0)</f>
        <v>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0</v>
      </c>
      <c r="O175" s="48">
        <f ca="1">IF(L175&gt;0,N175*100/L175,0)</f>
        <v>0</v>
      </c>
      <c r="P175" s="48">
        <f ca="1">IF(M175&gt;0,N175*100/M175,0)</f>
        <v>0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0</v>
      </c>
      <c r="O176" s="48">
        <f ca="1">IF(L176&gt;0,N176*100/L176,0)</f>
        <v>0</v>
      </c>
      <c r="P176" s="48">
        <f ca="1">IF(M176&gt;0,N176*100/M176,0)</f>
        <v>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IFERROR(__xludf.DUMMYFUNCTION("IMPORTRANGE(""https://docs.google.com/spreadsheets/d/1-uDff_7J0KD5mKrp0Vvzr7lt3OU09vwQwhkpOPPYv2Y/edit?usp=sharing"",""งบพรบ!CK84"")"),19590)</f>
        <v>19590</v>
      </c>
      <c r="M178" s="48">
        <f ca="1">IFERROR(__xludf.DUMMYFUNCTION("IMPORTRANGE(""https://docs.google.com/spreadsheets/d/1-uDff_7J0KD5mKrp0Vvzr7lt3OU09vwQwhkpOPPYv2Y/edit?usp=sharing"",""งบพรบ!CP84"")"),19590)</f>
        <v>19590</v>
      </c>
      <c r="N178" s="48">
        <f ca="1">IFERROR(__xludf.DUMMYFUNCTION("IMPORTRANGE(""https://docs.google.com/spreadsheets/d/1-uDff_7J0KD5mKrp0Vvzr7lt3OU09vwQwhkpOPPYv2Y/edit?usp=sharing"",""งบพรบ!CR84"")"),0)</f>
        <v>0</v>
      </c>
      <c r="O178" s="48">
        <f ca="1">IF(L178&gt;0,N178*100/L178,0)</f>
        <v>0</v>
      </c>
      <c r="P178" s="48">
        <f ca="1">IF(M178&gt;0,N178*100/M178,0)</f>
        <v>0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IFERROR(__xludf.DUMMYFUNCTION("IMPORTRANGE(""https://docs.google.com/spreadsheets/d/1-uDff_7J0KD5mKrp0Vvzr7lt3OU09vwQwhkpOPPYv2Y/edit?usp=sharing"",""งบพรบ!CN84"")"),0)</f>
        <v>0</v>
      </c>
      <c r="M181" s="48">
        <f ca="1">IFERROR(__xludf.DUMMYFUNCTION("IMPORTRANGE(""https://docs.google.com/spreadsheets/d/1-uDff_7J0KD5mKrp0Vvzr7lt3OU09vwQwhkpOPPYv2Y/edit?usp=sharing"",""งบพรบ!CQ84"")"),0)</f>
        <v>0</v>
      </c>
      <c r="N181" s="48">
        <f ca="1">IFERROR(__xludf.DUMMYFUNCTION("IMPORTRANGE(""https://docs.google.com/spreadsheets/d/1-uDff_7J0KD5mKrp0Vvzr7lt3OU09vwQwhkpOPPYv2Y/edit?usp=sharing"",""งบพรบ!CS84"")"),0)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IFERROR(__xludf.DUMMYFUNCTION("IMPORTRANGE(""https://docs.google.com/spreadsheets/d/1eHaY18a8A9IcSdp1K8H6x8fbOy06t2VsZHhMHf-1x7Y/edit?usp=sharing"",""แผน!AA84"")"),7)</f>
        <v>7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105500</v>
      </c>
      <c r="M186" s="141">
        <f ca="1">M187+M188</f>
        <v>72500</v>
      </c>
      <c r="N186" s="141">
        <f ca="1">N187+N188</f>
        <v>22170</v>
      </c>
      <c r="O186" s="141">
        <f ca="1">IF(L186&gt;0,N186*100/L186,0)</f>
        <v>21.014218009478672</v>
      </c>
      <c r="P186" s="141">
        <f ca="1">IF(M186&gt;0,N186*100/M186,0)</f>
        <v>30.579310344827586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105500</v>
      </c>
      <c r="M188" s="48">
        <f ca="1">M191+M194</f>
        <v>72500</v>
      </c>
      <c r="N188" s="48">
        <f ca="1">N191+N194</f>
        <v>22170</v>
      </c>
      <c r="O188" s="48">
        <f ca="1">IF(L188&gt;0,N188*100/L188,0)</f>
        <v>21.014218009478672</v>
      </c>
      <c r="P188" s="48">
        <f ca="1">IF(M188&gt;0,N188*100/M188,0)</f>
        <v>30.579310344827586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105500</v>
      </c>
      <c r="M189" s="48">
        <f ca="1">M190+M191</f>
        <v>72500</v>
      </c>
      <c r="N189" s="48">
        <f ca="1">N190+N191</f>
        <v>22170</v>
      </c>
      <c r="O189" s="48">
        <f ca="1">IF(L189&gt;0,N189*100/L189,0)</f>
        <v>21.014218009478672</v>
      </c>
      <c r="P189" s="48">
        <f ca="1">IF(M189&gt;0,N189*100/M189,0)</f>
        <v>30.579310344827586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IFERROR(__xludf.DUMMYFUNCTION("IMPORTRANGE(""https://docs.google.com/spreadsheets/d/1-uDff_7J0KD5mKrp0Vvzr7lt3OU09vwQwhkpOPPYv2Y/edit?usp=sharing"",""งบพรบ!CU84"")"),105500)</f>
        <v>105500</v>
      </c>
      <c r="M191" s="48">
        <f ca="1">IFERROR(__xludf.DUMMYFUNCTION("IMPORTRANGE(""https://docs.google.com/spreadsheets/d/1-uDff_7J0KD5mKrp0Vvzr7lt3OU09vwQwhkpOPPYv2Y/edit?usp=sharing"",""งบพรบ!CZ84"")"),72500)</f>
        <v>72500</v>
      </c>
      <c r="N191" s="48">
        <f ca="1">IFERROR(__xludf.DUMMYFUNCTION("IMPORTRANGE(""https://docs.google.com/spreadsheets/d/1-uDff_7J0KD5mKrp0Vvzr7lt3OU09vwQwhkpOPPYv2Y/edit?usp=sharing"",""งบพรบ!DB84"")"),22170)</f>
        <v>22170</v>
      </c>
      <c r="O191" s="48">
        <f ca="1">IF(L191&gt;0,N191*100/L191,0)</f>
        <v>21.014218009478672</v>
      </c>
      <c r="P191" s="48">
        <f ca="1">IF(M191&gt;0,N191*100/M191,0)</f>
        <v>30.579310344827586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IFERROR(__xludf.DUMMYFUNCTION("IMPORTRANGE(""https://docs.google.com/spreadsheets/d/1-uDff_7J0KD5mKrp0Vvzr7lt3OU09vwQwhkpOPPYv2Y/edit?usp=sharing"",""งบพรบ!CX84"")"),0)</f>
        <v>0</v>
      </c>
      <c r="M194" s="48">
        <f ca="1">IFERROR(__xludf.DUMMYFUNCTION("IMPORTRANGE(""https://docs.google.com/spreadsheets/d/1-uDff_7J0KD5mKrp0Vvzr7lt3OU09vwQwhkpOPPYv2Y/edit?usp=sharing"",""งบพรบ!DA84"")"),0)</f>
        <v>0</v>
      </c>
      <c r="N194" s="48">
        <f ca="1">IFERROR(__xludf.DUMMYFUNCTION("IMPORTRANGE(""https://docs.google.com/spreadsheets/d/1-uDff_7J0KD5mKrp0Vvzr7lt3OU09vwQwhkpOPPYv2Y/edit?usp=sharing"",""งบพรบ!DC84"")"),0)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IFERROR(__xludf.DUMMYFUNCTION("IMPORTRANGE(""https://docs.google.com/spreadsheets/d/1eHaY18a8A9IcSdp1K8H6x8fbOy06t2VsZHhMHf-1x7Y/edit?usp=sharing"",""แผน!AB84"")"),6000)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IFERROR(__xludf.DUMMYFUNCTION("IMPORTRANGE(""https://docs.google.com/spreadsheets/d/1eHaY18a8A9IcSdp1K8H6x8fbOy06t2VsZHhMHf-1x7Y/edit?usp=sharing"",""แผน!AE84"")"),4)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1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13000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IFERROR(__xludf.DUMMYFUNCTION("IMPORTRANGE(""https://docs.google.com/spreadsheets/d/1eHaY18a8A9IcSdp1K8H6x8fbOy06t2VsZHhMHf-1x7Y/edit?usp=sharing"",""แผน!AG84"")"),1000)</f>
        <v>1000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IFERROR(__xludf.DUMMYFUNCTION("IMPORTRANGE(""https://docs.google.com/spreadsheets/d/1eHaY18a8A9IcSdp1K8H6x8fbOy06t2VsZHhMHf-1x7Y/edit?usp=sharing"",""แผน!AH84"")"),0)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IFERROR(__xludf.DUMMYFUNCTION("IMPORTRANGE(""https://docs.google.com/spreadsheets/d/1eHaY18a8A9IcSdp1K8H6x8fbOy06t2VsZHhMHf-1x7Y/edit?usp=sharing"",""แผน!AI84"")"),8000)</f>
        <v>8000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IFERROR(__xludf.DUMMYFUNCTION("IMPORTRANGE(""https://docs.google.com/spreadsheets/d/1eHaY18a8A9IcSdp1K8H6x8fbOy06t2VsZHhMHf-1x7Y/edit?usp=sharing"",""แผน!AJ84"")"),4000)</f>
        <v>4000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IFERROR(__xludf.DUMMYFUNCTION("IMPORTRANGE(""https://docs.google.com/spreadsheets/d/1eHaY18a8A9IcSdp1K8H6x8fbOy06t2VsZHhMHf-1x7Y/edit?usp=sharing"",""แผน!AK84"")"),1)</f>
        <v>1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IFERROR(__xludf.DUMMYFUNCTION("IMPORTRANGE(""https://docs.google.com/spreadsheets/d/1eHaY18a8A9IcSdp1K8H6x8fbOy06t2VsZHhMHf-1x7Y/edit?usp=sharing"",""แผน!AK84"")"),1)</f>
        <v>1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IFERROR(__xludf.DUMMYFUNCTION("IMPORTRANGE(""https://docs.google.com/spreadsheets/d/1eHaY18a8A9IcSdp1K8H6x8fbOy06t2VsZHhMHf-1x7Y/edit?usp=sharing"",""แผน!AK84"")"),1)</f>
        <v>1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hidden="1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hidden="1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hidden="1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IFERROR(__xludf.DUMMYFUNCTION("IMPORTRANGE(""https://docs.google.com/spreadsheets/d/1eHaY18a8A9IcSdp1K8H6x8fbOy06t2VsZHhMHf-1x7Y/edit?usp=sharing"",""แผน!AM84"")"),0)</f>
        <v>0</v>
      </c>
      <c r="M215" s="47"/>
      <c r="N215" s="249">
        <v>0</v>
      </c>
      <c r="O215" s="146"/>
      <c r="P215" s="47"/>
    </row>
    <row r="216" spans="1:16" ht="18.75" hidden="1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IFERROR(__xludf.DUMMYFUNCTION("IMPORTRANGE(""https://docs.google.com/spreadsheets/d/1eHaY18a8A9IcSdp1K8H6x8fbOy06t2VsZHhMHf-1x7Y/edit?usp=sharing"",""แผน!AN84"")"),0)</f>
        <v>0</v>
      </c>
      <c r="M216" s="47"/>
      <c r="N216" s="249">
        <v>0</v>
      </c>
      <c r="O216" s="146"/>
      <c r="P216" s="47"/>
    </row>
    <row r="217" spans="1:16" ht="18.75" hidden="1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IFERROR(__xludf.DUMMYFUNCTION("IMPORTRANGE(""https://docs.google.com/spreadsheets/d/1eHaY18a8A9IcSdp1K8H6x8fbOy06t2VsZHhMHf-1x7Y/edit?usp=sharing"",""แผน!AO84"")"),0)</f>
        <v>0</v>
      </c>
      <c r="M217" s="47"/>
      <c r="N217" s="249">
        <v>0</v>
      </c>
      <c r="O217" s="146"/>
      <c r="P217" s="47"/>
    </row>
    <row r="218" spans="1:16" ht="19.5" hidden="1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hidden="1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IFERROR(__xludf.DUMMYFUNCTION("IMPORTRANGE(""https://docs.google.com/spreadsheets/d/1eHaY18a8A9IcSdp1K8H6x8fbOy06t2VsZHhMHf-1x7Y/edit?usp=sharing"",""แผน!AP84"")"),0)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hidden="1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IFERROR(__xludf.DUMMYFUNCTION("IMPORTRANGE(""https://docs.google.com/spreadsheets/d/1eHaY18a8A9IcSdp1K8H6x8fbOy06t2VsZHhMHf-1x7Y/edit?usp=sharing"",""แผน!AP84"")"),0)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12000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IFERROR(__xludf.DUMMYFUNCTION("IMPORTRANGE(""https://docs.google.com/spreadsheets/d/1eHaY18a8A9IcSdp1K8H6x8fbOy06t2VsZHhMHf-1x7Y/edit?usp=sharing"",""แผน!AR84"")"),3000)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IFERROR(__xludf.DUMMYFUNCTION("IMPORTRANGE(""https://docs.google.com/spreadsheets/d/1eHaY18a8A9IcSdp1K8H6x8fbOy06t2VsZHhMHf-1x7Y/edit?usp=sharing"",""แผน!AS84"")"),1500)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IFERROR(__xludf.DUMMYFUNCTION("IMPORTRANGE(""https://docs.google.com/spreadsheets/d/1eHaY18a8A9IcSdp1K8H6x8fbOy06t2VsZHhMHf-1x7Y/edit?usp=sharing"",""แผน!AT84"")"),0)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IFERROR(__xludf.DUMMYFUNCTION("IMPORTRANGE(""https://docs.google.com/spreadsheets/d/1eHaY18a8A9IcSdp1K8H6x8fbOy06t2VsZHhMHf-1x7Y/edit?usp=sharing"",""แผน!AV84"")"),12000)</f>
        <v>12000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IFERROR(__xludf.DUMMYFUNCTION("IMPORTRANGE(""https://docs.google.com/spreadsheets/d/1eHaY18a8A9IcSdp1K8H6x8fbOy06t2VsZHhMHf-1x7Y/edit?usp=sharing"",""แผน!AV84"")"),12000)</f>
        <v>12000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IFERROR(__xludf.DUMMYFUNCTION("IMPORTRANGE(""https://docs.google.com/spreadsheets/d/1eHaY18a8A9IcSdp1K8H6x8fbOy06t2VsZHhMHf-1x7Y/edit?usp=sharing"",""แผน!AU84"")"),0)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IFERROR(__xludf.DUMMYFUNCTION("IMPORTRANGE(""https://docs.google.com/spreadsheets/d/1eHaY18a8A9IcSdp1K8H6x8fbOy06t2VsZHhMHf-1x7Y/edit?usp=sharing"",""แผน!AX84"")"),0)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IFERROR(__xludf.DUMMYFUNCTION("IMPORTRANGE(""https://docs.google.com/spreadsheets/d/1eHaY18a8A9IcSdp1K8H6x8fbOy06t2VsZHhMHf-1x7Y/edit?usp=sharing"",""แผน!AY84"")"),0)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IFERROR(__xludf.DUMMYFUNCTION("IMPORTRANGE(""https://docs.google.com/spreadsheets/d/1eHaY18a8A9IcSdp1K8H6x8fbOy06t2VsZHhMHf-1x7Y/edit?usp=sharing"",""แผน!AZ84"")"),0)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IFERROR(__xludf.DUMMYFUNCTION("IMPORTRANGE(""https://docs.google.com/spreadsheets/d/1eHaY18a8A9IcSdp1K8H6x8fbOy06t2VsZHhMHf-1x7Y/edit?usp=sharing"",""แผน!BA84"")"),0)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IFERROR(__xludf.DUMMYFUNCTION("IMPORTRANGE(""https://docs.google.com/spreadsheets/d/1eHaY18a8A9IcSdp1K8H6x8fbOy06t2VsZHhMHf-1x7Y/edit?usp=sharing"",""แผน!BG84"")"),0)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IFERROR(__xludf.DUMMYFUNCTION("IMPORTRANGE(""https://docs.google.com/spreadsheets/d/1eHaY18a8A9IcSdp1K8H6x8fbOy06t2VsZHhMHf-1x7Y/edit?usp=sharing"",""แผน!BB84"")"),0)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IFERROR(__xludf.DUMMYFUNCTION("IMPORTRANGE(""https://docs.google.com/spreadsheets/d/1eHaY18a8A9IcSdp1K8H6x8fbOy06t2VsZHhMHf-1x7Y/edit?usp=sharing"",""แผน!BC84"")"),0)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IFERROR(__xludf.DUMMYFUNCTION("IMPORTRANGE(""https://docs.google.com/spreadsheets/d/1eHaY18a8A9IcSdp1K8H6x8fbOy06t2VsZHhMHf-1x7Y/edit?usp=sharing"",""แผน!BD84"")"),0)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IFERROR(__xludf.DUMMYFUNCTION("IMPORTRANGE(""https://docs.google.com/spreadsheets/d/1eHaY18a8A9IcSdp1K8H6x8fbOy06t2VsZHhMHf-1x7Y/edit?usp=sharing"",""แผน!BE84"")"),0)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IFERROR(__xludf.DUMMYFUNCTION("IMPORTRANGE(""https://docs.google.com/spreadsheets/d/1eHaY18a8A9IcSdp1K8H6x8fbOy06t2VsZHhMHf-1x7Y/edit?usp=sharing"",""แผน!BH84"")"),0)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IFERROR(__xludf.DUMMYFUNCTION("IMPORTRANGE(""https://docs.google.com/spreadsheets/d/1-uDff_7J0KD5mKrp0Vvzr7lt3OU09vwQwhkpOPPYv2Y/edit?usp=sharing"",""งบพรบ!DE84"")"),0)</f>
        <v>0</v>
      </c>
      <c r="M271" s="51">
        <f ca="1">IFERROR(__xludf.DUMMYFUNCTION("IMPORTRANGE(""https://docs.google.com/spreadsheets/d/1-uDff_7J0KD5mKrp0Vvzr7lt3OU09vwQwhkpOPPYv2Y/edit?usp=sharing"",""งบพรบ!DJ84"")"),0)</f>
        <v>0</v>
      </c>
      <c r="N271" s="51">
        <f ca="1">IFERROR(__xludf.DUMMYFUNCTION("IMPORTRANGE(""https://docs.google.com/spreadsheets/d/1-uDff_7J0KD5mKrp0Vvzr7lt3OU09vwQwhkpOPPYv2Y/edit?usp=sharing"",""งบพรบ!DL84"")"),0)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IFERROR(__xludf.DUMMYFUNCTION("IMPORTRANGE(""https://docs.google.com/spreadsheets/d/1-uDff_7J0KD5mKrp0Vvzr7lt3OU09vwQwhkpOPPYv2Y/edit?usp=sharing"",""งบพรบ!DH84"")"),0)</f>
        <v>0</v>
      </c>
      <c r="M274" s="51">
        <f ca="1">IFERROR(__xludf.DUMMYFUNCTION("IMPORTRANGE(""https://docs.google.com/spreadsheets/d/1-uDff_7J0KD5mKrp0Vvzr7lt3OU09vwQwhkpOPPYv2Y/edit?usp=sharing"",""งบพรบ!DK84"")"),0)</f>
        <v>0</v>
      </c>
      <c r="N274" s="51">
        <f ca="1">IFERROR(__xludf.DUMMYFUNCTION("IMPORTRANGE(""https://docs.google.com/spreadsheets/d/1-uDff_7J0KD5mKrp0Vvzr7lt3OU09vwQwhkpOPPYv2Y/edit?usp=sharing"",""งบพรบ!DM84"")"),0)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IFERROR(__xludf.DUMMYFUNCTION("IMPORTRANGE(""https://docs.google.com/spreadsheets/d/1-uDff_7J0KD5mKrp0Vvzr7lt3OU09vwQwhkpOPPYv2Y/edit?usp=sharing"",""งบพรบ!DO84"")"),0)</f>
        <v>0</v>
      </c>
      <c r="M287" s="48">
        <f ca="1">IFERROR(__xludf.DUMMYFUNCTION("IMPORTRANGE(""https://docs.google.com/spreadsheets/d/1-uDff_7J0KD5mKrp0Vvzr7lt3OU09vwQwhkpOPPYv2Y/edit?usp=sharing"",""งบพรบ!DT84"")"),0)</f>
        <v>0</v>
      </c>
      <c r="N287" s="48">
        <f ca="1">IFERROR(__xludf.DUMMYFUNCTION("IMPORTRANGE(""https://docs.google.com/spreadsheets/d/1-uDff_7J0KD5mKrp0Vvzr7lt3OU09vwQwhkpOPPYv2Y/edit?usp=sharing"",""งบพรบ!DV84"")"),0)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IFERROR(__xludf.DUMMYFUNCTION("IMPORTRANGE(""https://docs.google.com/spreadsheets/d/1-uDff_7J0KD5mKrp0Vvzr7lt3OU09vwQwhkpOPPYv2Y/edit?usp=sharing"",""งบพรบ!DR84"")"),0)</f>
        <v>0</v>
      </c>
      <c r="M290" s="48">
        <f ca="1">IFERROR(__xludf.DUMMYFUNCTION("IMPORTRANGE(""https://docs.google.com/spreadsheets/d/1-uDff_7J0KD5mKrp0Vvzr7lt3OU09vwQwhkpOPPYv2Y/edit?usp=sharing"",""งบพรบ!DU84"")"),0)</f>
        <v>0</v>
      </c>
      <c r="N290" s="48">
        <f ca="1">IFERROR(__xludf.DUMMYFUNCTION("IMPORTRANGE(""https://docs.google.com/spreadsheets/d/1-uDff_7J0KD5mKrp0Vvzr7lt3OU09vwQwhkpOPPYv2Y/edit?usp=sharing"",""งบพรบ!DW84"")"),0)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IFERROR(__xludf.DUMMYFUNCTION("IMPORTRANGE(""https://docs.google.com/spreadsheets/d/1eHaY18a8A9IcSdp1K8H6x8fbOy06t2VsZHhMHf-1x7Y/edit?usp=sharing"",""แผน!EE84"")"),0)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IFERROR(__xludf.DUMMYFUNCTION("IMPORTRANGE(""https://docs.google.com/spreadsheets/d/1eHaY18a8A9IcSdp1K8H6x8fbOy06t2VsZHhMHf-1x7Y/edit?usp=sharing"",""แผน!ED84"")"),0)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IFERROR(__xludf.DUMMYFUNCTION("IMPORTRANGE(""https://docs.google.com/spreadsheets/d/1eHaY18a8A9IcSdp1K8H6x8fbOy06t2VsZHhMHf-1x7Y/edit?usp=sharing"",""แผน!ED84"")"),0)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IFERROR(__xludf.DUMMYFUNCTION("IMPORTRANGE(""https://docs.google.com/spreadsheets/d/1eHaY18a8A9IcSdp1K8H6x8fbOy06t2VsZHhMHf-1x7Y/edit?usp=sharing"",""แผน!ED84"")"),0)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IFERROR(__xludf.DUMMYFUNCTION("IMPORTRANGE(""https://docs.google.com/spreadsheets/d/1-uDff_7J0KD5mKrp0Vvzr7lt3OU09vwQwhkpOPPYv2Y/edit?usp=sharing"",""งบพรบ!DY84"")"),0)</f>
        <v>0</v>
      </c>
      <c r="M308" s="48">
        <f ca="1">IFERROR(__xludf.DUMMYFUNCTION("IMPORTRANGE(""https://docs.google.com/spreadsheets/d/1-uDff_7J0KD5mKrp0Vvzr7lt3OU09vwQwhkpOPPYv2Y/edit?usp=sharing"",""งบพรบ!ED84"")"),0)</f>
        <v>0</v>
      </c>
      <c r="N308" s="48">
        <f ca="1">IFERROR(__xludf.DUMMYFUNCTION("IMPORTRANGE(""https://docs.google.com/spreadsheets/d/1-uDff_7J0KD5mKrp0Vvzr7lt3OU09vwQwhkpOPPYv2Y/edit?usp=sharing"",""งบพรบ!EF84"")"),0)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IFERROR(__xludf.DUMMYFUNCTION("IMPORTRANGE(""https://docs.google.com/spreadsheets/d/1-uDff_7J0KD5mKrp0Vvzr7lt3OU09vwQwhkpOPPYv2Y/edit?usp=sharing"",""งบพรบ!EB84"")"),0)</f>
        <v>0</v>
      </c>
      <c r="M311" s="48">
        <f ca="1">IFERROR(__xludf.DUMMYFUNCTION("IMPORTRANGE(""https://docs.google.com/spreadsheets/d/1-uDff_7J0KD5mKrp0Vvzr7lt3OU09vwQwhkpOPPYv2Y/edit?usp=sharing"",""งบพรบ!EE84"")"),0)</f>
        <v>0</v>
      </c>
      <c r="N311" s="48">
        <f ca="1">IFERROR(__xludf.DUMMYFUNCTION("IMPORTRANGE(""https://docs.google.com/spreadsheets/d/1-uDff_7J0KD5mKrp0Vvzr7lt3OU09vwQwhkpOPPYv2Y/edit?usp=sharing"",""งบพรบ!EG84"")"),0)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IFERROR(__xludf.DUMMYFUNCTION("IMPORTRANGE(""https://docs.google.com/spreadsheets/d/1eHaY18a8A9IcSdp1K8H6x8fbOy06t2VsZHhMHf-1x7Y/edit?usp=sharing"",""แผน!EF84"")"),0)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IFERROR(__xludf.DUMMYFUNCTION("IMPORTRANGE(""https://docs.google.com/spreadsheets/d/1eHaY18a8A9IcSdp1K8H6x8fbOy06t2VsZHhMHf-1x7Y/edit?usp=sharing"",""แผน!EG84"")"),0)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IFERROR(__xludf.DUMMYFUNCTION("IMPORTRANGE(""https://docs.google.com/spreadsheets/d/1eHaY18a8A9IcSdp1K8H6x8fbOy06t2VsZHhMHf-1x7Y/edit?usp=sharing"",""แผน!EH84"")"),0)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IFERROR(__xludf.DUMMYFUNCTION("IMPORTRANGE(""https://docs.google.com/spreadsheets/d/1eHaY18a8A9IcSdp1K8H6x8fbOy06t2VsZHhMHf-1x7Y/edit?usp=sharing"",""แผน!EI84"")"),0)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hidden="1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IFERROR(__xludf.DUMMYFUNCTION("IMPORTRANGE(""https://docs.google.com/spreadsheets/d/1-uDff_7J0KD5mKrp0Vvzr7lt3OU09vwQwhkpOPPYv2Y/edit?usp=sharing"",""งบพรบ!EI84"")"),0)</f>
        <v>0</v>
      </c>
      <c r="M325" s="48">
        <f ca="1">IFERROR(__xludf.DUMMYFUNCTION("IMPORTRANGE(""https://docs.google.com/spreadsheets/d/1-uDff_7J0KD5mKrp0Vvzr7lt3OU09vwQwhkpOPPYv2Y/edit?usp=sharing"",""งบพรบ!EN84"")"),0)</f>
        <v>0</v>
      </c>
      <c r="N325" s="48">
        <f ca="1">IFERROR(__xludf.DUMMYFUNCTION("IMPORTRANGE(""https://docs.google.com/spreadsheets/d/1-uDff_7J0KD5mKrp0Vvzr7lt3OU09vwQwhkpOPPYv2Y/edit?usp=sharing"",""งบพรบ!EP84"")"),0)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IFERROR(__xludf.DUMMYFUNCTION("IMPORTRANGE(""https://docs.google.com/spreadsheets/d/1-uDff_7J0KD5mKrp0Vvzr7lt3OU09vwQwhkpOPPYv2Y/edit?usp=sharing"",""งบพรบ!EL84"")"),0)</f>
        <v>0</v>
      </c>
      <c r="M328" s="48">
        <f ca="1">IFERROR(__xludf.DUMMYFUNCTION("IMPORTRANGE(""https://docs.google.com/spreadsheets/d/1-uDff_7J0KD5mKrp0Vvzr7lt3OU09vwQwhkpOPPYv2Y/edit?usp=sharing"",""งบพรบ!EO84"")"),0)</f>
        <v>0</v>
      </c>
      <c r="N328" s="48">
        <f ca="1">IFERROR(__xludf.DUMMYFUNCTION("IMPORTRANGE(""https://docs.google.com/spreadsheets/d/1-uDff_7J0KD5mKrp0Vvzr7lt3OU09vwQwhkpOPPYv2Y/edit?usp=sharing"",""งบพรบ!EQ84"")"),0)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IFERROR(__xludf.DUMMYFUNCTION("IMPORTRANGE(""https://docs.google.com/spreadsheets/d/1eHaY18a8A9IcSdp1K8H6x8fbOy06t2VsZHhMHf-1x7Y/edit?usp=sharing"",""แผน!EJ84"")"),0)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140</v>
      </c>
      <c r="J332" s="352">
        <f ca="1">J344+J347+J348+J349+J353</f>
        <v>141</v>
      </c>
      <c r="K332" s="353">
        <f ca="1">IF(I332&gt;0,J332*100/I332,0)</f>
        <v>100.71428571428571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99000</v>
      </c>
      <c r="M333" s="141">
        <f ca="1">M334+M335</f>
        <v>79350</v>
      </c>
      <c r="N333" s="141">
        <f ca="1">N334+N335</f>
        <v>9155</v>
      </c>
      <c r="O333" s="141">
        <f ca="1">IF(L333&gt;0,N333*100/L333,0)</f>
        <v>9.2474747474747474</v>
      </c>
      <c r="P333" s="141">
        <f ca="1">IF(M333&gt;0,N333*100/M333,0)</f>
        <v>11.537492123503466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99000</v>
      </c>
      <c r="M335" s="48">
        <f ca="1">M338+M341</f>
        <v>79350</v>
      </c>
      <c r="N335" s="48">
        <f ca="1">N338+N341</f>
        <v>9155</v>
      </c>
      <c r="O335" s="48">
        <f ca="1">IF(L335&gt;0,N335*100/L335,0)</f>
        <v>9.2474747474747474</v>
      </c>
      <c r="P335" s="48">
        <f ca="1">IF(M335&gt;0,N335*100/M335,0)</f>
        <v>11.537492123503466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99000</v>
      </c>
      <c r="M336" s="48">
        <f ca="1">M337+M338</f>
        <v>79350</v>
      </c>
      <c r="N336" s="48">
        <f ca="1">N337+N338</f>
        <v>9155</v>
      </c>
      <c r="O336" s="48">
        <f ca="1">IF(L336&gt;0,N336*100/L336,0)</f>
        <v>9.2474747474747474</v>
      </c>
      <c r="P336" s="48">
        <f ca="1">IF(M336&gt;0,N336*100/M336,0)</f>
        <v>11.537492123503466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IFERROR(__xludf.DUMMYFUNCTION("IMPORTRANGE(""https://docs.google.com/spreadsheets/d/1-uDff_7J0KD5mKrp0Vvzr7lt3OU09vwQwhkpOPPYv2Y/edit?usp=sharing"",""งบพรบ!ES84"")"),99000)</f>
        <v>99000</v>
      </c>
      <c r="M338" s="48">
        <f ca="1">IFERROR(__xludf.DUMMYFUNCTION("IMPORTRANGE(""https://docs.google.com/spreadsheets/d/1-uDff_7J0KD5mKrp0Vvzr7lt3OU09vwQwhkpOPPYv2Y/edit?usp=sharing"",""งบพรบ!EX84"")"),79350)</f>
        <v>79350</v>
      </c>
      <c r="N338" s="48">
        <f ca="1">IFERROR(__xludf.DUMMYFUNCTION("IMPORTRANGE(""https://docs.google.com/spreadsheets/d/1-uDff_7J0KD5mKrp0Vvzr7lt3OU09vwQwhkpOPPYv2Y/edit?usp=sharing"",""งบพรบ!EZ84"")"),9155)</f>
        <v>9155</v>
      </c>
      <c r="O338" s="48">
        <f ca="1">IF(L338&gt;0,N338*100/L338,0)</f>
        <v>9.2474747474747474</v>
      </c>
      <c r="P338" s="48">
        <f ca="1">IF(M338&gt;0,N338*100/M338,0)</f>
        <v>11.537492123503466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IFERROR(__xludf.DUMMYFUNCTION("IMPORTRANGE(""https://docs.google.com/spreadsheets/d/1-uDff_7J0KD5mKrp0Vvzr7lt3OU09vwQwhkpOPPYv2Y/edit?usp=sharing"",""งบพรบ!EV84"")"),0)</f>
        <v>0</v>
      </c>
      <c r="M341" s="48">
        <f ca="1">IFERROR(__xludf.DUMMYFUNCTION("IMPORTRANGE(""https://docs.google.com/spreadsheets/d/1-uDff_7J0KD5mKrp0Vvzr7lt3OU09vwQwhkpOPPYv2Y/edit?usp=sharing"",""งบพรบ!EY84"")"),0)</f>
        <v>0</v>
      </c>
      <c r="N341" s="48">
        <f ca="1">IFERROR(__xludf.DUMMYFUNCTION("IMPORTRANGE(""https://docs.google.com/spreadsheets/d/1-uDff_7J0KD5mKrp0Vvzr7lt3OU09vwQwhkpOPPYv2Y/edit?usp=sharing"",""งบพรบ!FA84"")"),0)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0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IFERROR(__xludf.DUMMYFUNCTION("IMPORTRANGE(""https://docs.google.com/spreadsheets/d/1eHaY18a8A9IcSdp1K8H6x8fbOy06t2VsZHhMHf-1x7Y/edit?usp=sharing"",""แผน!EK84"")"),140)</f>
        <v>140</v>
      </c>
      <c r="J344" s="170">
        <f ca="1">IFERROR(__xludf.DUMMYFUNCTION("IMPORTRANGE(""https://docs.google.com/spreadsheets/d/1awYsYK3VOup2i3Pq_Yjnu8DRu_mYwSBnCR2QPthd0rU/edit?usp=sharing"",""ศูนย์ยกเว้นโฉนด!D84"")"),0)</f>
        <v>0</v>
      </c>
      <c r="K344" s="48">
        <f ca="1">IF(I344&gt;0,J344*100/I344,0)</f>
        <v>0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IFERROR(__xludf.DUMMYFUNCTION("IMPORTRANGE(""https://docs.google.com/spreadsheets/d/1eHaY18a8A9IcSdp1K8H6x8fbOy06t2VsZHhMHf-1x7Y/edit?usp=sharing"",""แผน!EL84"")"),1)</f>
        <v>1</v>
      </c>
      <c r="J346" s="170">
        <f ca="1">IFERROR(__xludf.DUMMYFUNCTION("IMPORTRANGE(""https://docs.google.com/spreadsheets/d/1awYsYK3VOup2i3Pq_Yjnu8DRu_mYwSBnCR2QPthd0rU/edit?usp=sharing"",""ศูนย์รวม!E84"")"),0)</f>
        <v>0</v>
      </c>
      <c r="K346" s="48">
        <f ca="1">IF(I346&gt;0,J346*100/I346,0)</f>
        <v>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IFERROR(__xludf.DUMMYFUNCTION("IMPORTRANGE(""https://docs.google.com/spreadsheets/d/1awYsYK3VOup2i3Pq_Yjnu8DRu_mYwSBnCR2QPthd0rU/edit?usp=sharing"",""ศูนย์ยกเว้นโฉนด!F84"")"),0)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IFERROR(__xludf.DUMMYFUNCTION("IMPORTRANGE(""https://docs.google.com/spreadsheets/d/1awYsYK3VOup2i3Pq_Yjnu8DRu_mYwSBnCR2QPthd0rU/edit?usp=sharing"",""ศูนย์ยกเว้นโฉนด!G84"")"),0)</f>
        <v>0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IFERROR(__xludf.DUMMYFUNCTION("IMPORTRANGE(""https://docs.google.com/spreadsheets/d/1awYsYK3VOup2i3Pq_Yjnu8DRu_mYwSBnCR2QPthd0rU/edit?usp=sharing"",""ศูนย์ยกเว้นโฉนด!H84"")"),0)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152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IFERROR(__xludf.DUMMYFUNCTION("IMPORTRANGE(""https://docs.google.com/spreadsheets/d/1awYsYK3VOup2i3Pq_Yjnu8DRu_mYwSBnCR2QPthd0rU/edit?usp=sharing"",""โฉนดM3!G84"")"),11)</f>
        <v>11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IFERROR(__xludf.DUMMYFUNCTION("IMPORTRANGE(""https://docs.google.com/spreadsheets/d/1awYsYK3VOup2i3Pq_Yjnu8DRu_mYwSBnCR2QPthd0rU/edit?usp=sharing"",""โฉนดM3!H84"")"),141)</f>
        <v>141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436105</v>
      </c>
      <c r="M356" s="141">
        <f ca="1">M357+M358</f>
        <v>331505</v>
      </c>
      <c r="N356" s="141">
        <f ca="1">N357+N358</f>
        <v>50660</v>
      </c>
      <c r="O356" s="141">
        <f ca="1">IF(L356&gt;0,N356*100/L356,0)</f>
        <v>11.61646851102372</v>
      </c>
      <c r="P356" s="141">
        <f ca="1">IF(M356&gt;0,N356*100/M356,0)</f>
        <v>15.281820787016787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436105</v>
      </c>
      <c r="M358" s="48">
        <f ca="1">M361+M364</f>
        <v>331505</v>
      </c>
      <c r="N358" s="48">
        <f ca="1">N361+N364</f>
        <v>50660</v>
      </c>
      <c r="O358" s="48">
        <f ca="1">IF(L358&gt;0,N358*100/L358,0)</f>
        <v>11.61646851102372</v>
      </c>
      <c r="P358" s="48">
        <f ca="1">IF(M358&gt;0,N358*100/M358,0)</f>
        <v>15.281820787016787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436105</v>
      </c>
      <c r="M359" s="48">
        <f ca="1">M360+M361</f>
        <v>331505</v>
      </c>
      <c r="N359" s="48">
        <f ca="1">N360+N361</f>
        <v>50660</v>
      </c>
      <c r="O359" s="48">
        <f ca="1">IF(L359&gt;0,N359*100/L359,0)</f>
        <v>11.61646851102372</v>
      </c>
      <c r="P359" s="48">
        <f ca="1">IF(M359&gt;0,N359*100/M359,0)</f>
        <v>15.281820787016787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IFERROR(__xludf.DUMMYFUNCTION("IMPORTRANGE(""https://docs.google.com/spreadsheets/d/1-uDff_7J0KD5mKrp0Vvzr7lt3OU09vwQwhkpOPPYv2Y/edit?usp=sharing"",""งบพรบ!FC84"")"),436105)</f>
        <v>436105</v>
      </c>
      <c r="M361" s="48">
        <f ca="1">IFERROR(__xludf.DUMMYFUNCTION("IMPORTRANGE(""https://docs.google.com/spreadsheets/d/1-uDff_7J0KD5mKrp0Vvzr7lt3OU09vwQwhkpOPPYv2Y/edit?usp=sharing"",""งบพรบ!FH84"")"),331505)</f>
        <v>331505</v>
      </c>
      <c r="N361" s="48">
        <f ca="1">IFERROR(__xludf.DUMMYFUNCTION("IMPORTRANGE(""https://docs.google.com/spreadsheets/d/1-uDff_7J0KD5mKrp0Vvzr7lt3OU09vwQwhkpOPPYv2Y/edit?usp=sharing"",""งบพรบ!FJ84"")"),50660)</f>
        <v>50660</v>
      </c>
      <c r="O361" s="48">
        <f ca="1">IF(L361&gt;0,N361*100/L361,0)</f>
        <v>11.61646851102372</v>
      </c>
      <c r="P361" s="48">
        <f ca="1">IF(M361&gt;0,N361*100/M361,0)</f>
        <v>15.281820787016787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IFERROR(__xludf.DUMMYFUNCTION("IMPORTRANGE(""https://docs.google.com/spreadsheets/d/1-uDff_7J0KD5mKrp0Vvzr7lt3OU09vwQwhkpOPPYv2Y/edit?usp=sharing"",""งบพรบ!FF84"")"),0)</f>
        <v>0</v>
      </c>
      <c r="M364" s="48">
        <f ca="1">IFERROR(__xludf.DUMMYFUNCTION("IMPORTRANGE(""https://docs.google.com/spreadsheets/d/1-uDff_7J0KD5mKrp0Vvzr7lt3OU09vwQwhkpOPPYv2Y/edit?usp=sharing"",""งบพรบ!FI84"")"),0)</f>
        <v>0</v>
      </c>
      <c r="N364" s="48">
        <f ca="1">IFERROR(__xludf.DUMMYFUNCTION("IMPORTRANGE(""https://docs.google.com/spreadsheets/d/1-uDff_7J0KD5mKrp0Vvzr7lt3OU09vwQwhkpOPPYv2Y/edit?usp=sharing"",""งบพรบ!FK84"")"),0)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42</v>
      </c>
      <c r="J365" s="240">
        <f ca="1">J371</f>
        <v>0</v>
      </c>
      <c r="K365" s="241">
        <f ca="1">IF(I365&gt;0,J365*100/I365,0)</f>
        <v>0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IFERROR(__xludf.DUMMYFUNCTION("IMPORTRANGE(""https://docs.google.com/spreadsheets/d/1tdoBKaGub7dwA3U6UFTqxio9LNnvDCQjHKmttSEBsFQ/edit?usp=sharing"",""จัดที่ดิน!AB84"")"),0)</f>
        <v>0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IFERROR(__xludf.DUMMYFUNCTION("IMPORTRANGE(""https://docs.google.com/spreadsheets/d/1eHaY18a8A9IcSdp1K8H6x8fbOy06t2VsZHhMHf-1x7Y/edit?usp=sharing"",""แผน!EW84"")"),460)</f>
        <v>460</v>
      </c>
      <c r="J368" s="368">
        <f ca="1">IFERROR(__xludf.DUMMYFUNCTION("IMPORTRANGE(""https://docs.google.com/spreadsheets/d/1tdoBKaGub7dwA3U6UFTqxio9LNnvDCQjHKmttSEBsFQ/edit?usp=sharing"",""จัดที่ดิน!AC84"")"),0)</f>
        <v>0</v>
      </c>
      <c r="K368" s="48">
        <f ca="1">IF(I368&gt;0,J368*100/I368,0)</f>
        <v>0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IFERROR(__xludf.DUMMYFUNCTION("IMPORTRANGE(""https://docs.google.com/spreadsheets/d/1eHaY18a8A9IcSdp1K8H6x8fbOy06t2VsZHhMHf-1x7Y/edit?usp=sharing"",""แผน!EX84"")"),59)</f>
        <v>59</v>
      </c>
      <c r="J369" s="170">
        <f ca="1">IFERROR(__xludf.DUMMYFUNCTION("IMPORTRANGE(""https://docs.google.com/spreadsheets/d/1tdoBKaGub7dwA3U6UFTqxio9LNnvDCQjHKmttSEBsFQ/edit?usp=sharing"",""จัดที่ดิน!AD84"")"),0)</f>
        <v>0</v>
      </c>
      <c r="K369" s="48">
        <f ca="1">IF(I369&gt;0,J369*100/I369,0)</f>
        <v>0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IFERROR(__xludf.DUMMYFUNCTION("IMPORTRANGE(""https://docs.google.com/spreadsheets/d/1tdoBKaGub7dwA3U6UFTqxio9LNnvDCQjHKmttSEBsFQ/edit?usp=sharing"",""จัดที่ดิน!AE84"")"),0)</f>
        <v>0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IFERROR(__xludf.DUMMYFUNCTION("IMPORTRANGE(""https://docs.google.com/spreadsheets/d/1eHaY18a8A9IcSdp1K8H6x8fbOy06t2VsZHhMHf-1x7Y/edit?usp=sharing"",""แผน!EY84"")"),42)</f>
        <v>42</v>
      </c>
      <c r="J371" s="170">
        <f ca="1">IFERROR(__xludf.DUMMYFUNCTION("IMPORTRANGE(""https://docs.google.com/spreadsheets/d/1tdoBKaGub7dwA3U6UFTqxio9LNnvDCQjHKmttSEBsFQ/edit?usp=sharing"",""จัดที่ดิน!AF84"")"),0)</f>
        <v>0</v>
      </c>
      <c r="K371" s="48">
        <f ca="1">IF(I371&gt;0,J371*100/I371,0)</f>
        <v>0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IFERROR(__xludf.DUMMYFUNCTION("IMPORTRANGE(""https://docs.google.com/spreadsheets/d/1tdoBKaGub7dwA3U6UFTqxio9LNnvDCQjHKmttSEBsFQ/edit?usp=sharing"",""จัดที่ดิน!AG84"")"),0)</f>
        <v>0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IFERROR(__xludf.DUMMYFUNCTION("IMPORTRANGE(""https://docs.google.com/spreadsheets/d/1-uDff_7J0KD5mKrp0Vvzr7lt3OU09vwQwhkpOPPYv2Y/edit?usp=sharing"",""งบพรบ!FM84"")"),0)</f>
        <v>0</v>
      </c>
      <c r="M382" s="51">
        <f ca="1">IFERROR(__xludf.DUMMYFUNCTION("IMPORTRANGE(""https://docs.google.com/spreadsheets/d/1-uDff_7J0KD5mKrp0Vvzr7lt3OU09vwQwhkpOPPYv2Y/edit?usp=sharing"",""งบพรบ!FR84"")"),0)</f>
        <v>0</v>
      </c>
      <c r="N382" s="51">
        <f ca="1">IFERROR(__xludf.DUMMYFUNCTION("IMPORTRANGE(""https://docs.google.com/spreadsheets/d/1-uDff_7J0KD5mKrp0Vvzr7lt3OU09vwQwhkpOPPYv2Y/edit?usp=sharing"",""งบพรบ!FT84"")"),0)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IFERROR(__xludf.DUMMYFUNCTION("IMPORTRANGE(""https://docs.google.com/spreadsheets/d/1-uDff_7J0KD5mKrp0Vvzr7lt3OU09vwQwhkpOPPYv2Y/edit?usp=sharing"",""งบพรบ!FP84"")"),0)</f>
        <v>0</v>
      </c>
      <c r="M385" s="51">
        <f ca="1">IFERROR(__xludf.DUMMYFUNCTION("IMPORTRANGE(""https://docs.google.com/spreadsheets/d/1-uDff_7J0KD5mKrp0Vvzr7lt3OU09vwQwhkpOPPYv2Y/edit?usp=sharing"",""งบพรบ!FS84"")"),0)</f>
        <v>0</v>
      </c>
      <c r="N385" s="51">
        <f ca="1">IFERROR(__xludf.DUMMYFUNCTION("IMPORTRANGE(""https://docs.google.com/spreadsheets/d/1-uDff_7J0KD5mKrp0Vvzr7lt3OU09vwQwhkpOPPYv2Y/edit?usp=sharing"",""งบพรบ!FU84"")"),0)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4" orientation="portrait" r:id="rId1"/>
  <headerFooter>
    <oddFooter>&amp;Cหน้า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3570-737E-4682-A783-582C587607F5}">
  <sheetPr>
    <outlinePr summaryBelow="0" summaryRight="0"/>
  </sheetPr>
  <dimension ref="A1:P391"/>
  <sheetViews>
    <sheetView view="pageBreakPreview" zoomScale="60" zoomScaleNormal="55" workbookViewId="0">
      <pane xSplit="8" ySplit="6" topLeftCell="I23" activePane="bottomRight" state="frozen"/>
      <selection activeCell="V62" sqref="V62"/>
      <selection pane="topRight" activeCell="V62" sqref="V62"/>
      <selection pane="bottomLeft" activeCell="V62" sqref="V62"/>
      <selection pane="bottomRight" activeCell="A2" sqref="A2:P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1" width="12.28515625" bestFit="1" customWidth="1"/>
    <col min="12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165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1368850</v>
      </c>
      <c r="M18" s="34">
        <f ca="1">M19+M20</f>
        <v>1078250</v>
      </c>
      <c r="N18" s="34">
        <f ca="1">N19+N20</f>
        <v>281764.62</v>
      </c>
      <c r="O18" s="34">
        <f ca="1">IF(L18&gt;0,N18*100/L18,0)</f>
        <v>20.584039156956571</v>
      </c>
      <c r="P18" s="34">
        <f ca="1">IF(M18&gt;0,N18*100/M18,0)</f>
        <v>26.131659633665663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1368850</v>
      </c>
      <c r="M20" s="40">
        <f ca="1">M23+M26</f>
        <v>1078250</v>
      </c>
      <c r="N20" s="40">
        <f ca="1">N23+N26</f>
        <v>281764.62</v>
      </c>
      <c r="O20" s="40">
        <f ca="1">IF(L20&gt;0,N20*100/L20,0)</f>
        <v>20.584039156956571</v>
      </c>
      <c r="P20" s="40">
        <f ca="1">IF(M20&gt;0,N20*100/M20,0)</f>
        <v>26.131659633665663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1368850</v>
      </c>
      <c r="M21" s="48">
        <f ca="1">M22+M23</f>
        <v>1078250</v>
      </c>
      <c r="N21" s="48">
        <f ca="1">N22+N23</f>
        <v>281764.62</v>
      </c>
      <c r="O21" s="48">
        <f ca="1">IF(L21&gt;0,N21*100/L21,0)</f>
        <v>20.584039156956571</v>
      </c>
      <c r="P21" s="48">
        <f ca="1">IF(M21&gt;0,N21*100/M21,0)</f>
        <v>26.131659633665663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1368850</v>
      </c>
      <c r="M23" s="48">
        <f ca="1">M49+M64+M77+M99+M130+M144+M162+M191+M178+M271+M287+M308+M325+M338+M361+M382</f>
        <v>1078250</v>
      </c>
      <c r="N23" s="48">
        <f ca="1">N49+N64+N77+N99+N130+N144+N162+N191+N178+N271+N287+N308+N325+N338+N361+N382</f>
        <v>281764.62</v>
      </c>
      <c r="O23" s="48">
        <f ca="1">IF(L23&gt;0,N23*100/L23,0)</f>
        <v>20.584039156956571</v>
      </c>
      <c r="P23" s="48">
        <f ca="1">IF(M23&gt;0,N23*100/M23,0)</f>
        <v>26.131659633665663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1368850</v>
      </c>
      <c r="M40" s="65">
        <f ca="1">M44+M59+M72+M94+M125+M139+M157+M173+M186+M266+M282+M303+M320+M333+M356</f>
        <v>1078250</v>
      </c>
      <c r="N40" s="65">
        <f ca="1">N44+N59+N72+N94+N125+N139+N157+N173+N186+N266+N282+N303+N320+N333+N356</f>
        <v>281764.62</v>
      </c>
      <c r="O40" s="65">
        <f ca="1">IF(L40&gt;0,N40*100/L40,0)</f>
        <v>20.584039156956571</v>
      </c>
      <c r="P40" s="65">
        <f ca="1">IF(M40&gt;0,N40*100/M40,0)</f>
        <v>26.131659633665663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134400</v>
      </c>
      <c r="M44" s="84">
        <f ca="1">M45+M46</f>
        <v>134400</v>
      </c>
      <c r="N44" s="84">
        <f ca="1">N45+N46</f>
        <v>29000</v>
      </c>
      <c r="O44" s="84">
        <f ca="1">IF(L44&gt;0,N44*100/L44,0)</f>
        <v>21.577380952380953</v>
      </c>
      <c r="P44" s="84">
        <f ca="1">IF(M44&gt;0,N44*100/M44,0)</f>
        <v>21.577380952380953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134400</v>
      </c>
      <c r="M46" s="90">
        <f ca="1">M49+M52</f>
        <v>134400</v>
      </c>
      <c r="N46" s="90">
        <f ca="1">N49+N52</f>
        <v>29000</v>
      </c>
      <c r="O46" s="90">
        <f ca="1">IF(L46&gt;0,N46*100/L46,0)</f>
        <v>21.577380952380953</v>
      </c>
      <c r="P46" s="90">
        <f ca="1">IF(M46&gt;0,N46*100/M46,0)</f>
        <v>21.577380952380953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134400</v>
      </c>
      <c r="M47" s="48">
        <f ca="1">M48+M49</f>
        <v>134400</v>
      </c>
      <c r="N47" s="48">
        <f ca="1">N48+N49</f>
        <v>29000</v>
      </c>
      <c r="O47" s="48">
        <f ca="1">IF(L47&gt;0,N47*100/L47,0)</f>
        <v>21.577380952380953</v>
      </c>
      <c r="P47" s="48">
        <f ca="1">IF(M47&gt;0,N47*100/M47,0)</f>
        <v>21.577380952380953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IFERROR(__xludf.DUMMYFUNCTION("IMPORTRANGE(""https://docs.google.com/spreadsheets/d/1-uDff_7J0KD5mKrp0Vvzr7lt3OU09vwQwhkpOPPYv2Y/edit?usp=sharing"",""งบพรบ!P85"")"),134400)</f>
        <v>134400</v>
      </c>
      <c r="M49" s="48">
        <f ca="1">IFERROR(__xludf.DUMMYFUNCTION("IMPORTRANGE(""https://docs.google.com/spreadsheets/d/1-uDff_7J0KD5mKrp0Vvzr7lt3OU09vwQwhkpOPPYv2Y/edit?usp=sharing"",""งบพรบ!V85"")"),134400)</f>
        <v>134400</v>
      </c>
      <c r="N49" s="48">
        <f ca="1">IFERROR(__xludf.DUMMYFUNCTION("IMPORTRANGE(""https://docs.google.com/spreadsheets/d/1-uDff_7J0KD5mKrp0Vvzr7lt3OU09vwQwhkpOPPYv2Y/edit?usp=sharing"",""งบพรบ!Y85"")"),29000)</f>
        <v>29000</v>
      </c>
      <c r="O49" s="48">
        <f ca="1">IF(L49&gt;0,N49*100/L49,0)</f>
        <v>21.577380952380953</v>
      </c>
      <c r="P49" s="48">
        <f ca="1">IF(M49&gt;0,N49*100/M49,0)</f>
        <v>21.577380952380953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IFERROR(__xludf.DUMMYFUNCTION("IMPORTRANGE(""https://docs.google.com/spreadsheets/d/1-uDff_7J0KD5mKrp0Vvzr7lt3OU09vwQwhkpOPPYv2Y/edit?usp=sharing"",""งบพรบ!S85"")"),0)</f>
        <v>0</v>
      </c>
      <c r="M52" s="48">
        <f ca="1">IFERROR(__xludf.DUMMYFUNCTION("IMPORTRANGE(""https://docs.google.com/spreadsheets/d/1-uDff_7J0KD5mKrp0Vvzr7lt3OU09vwQwhkpOPPYv2Y/edit?usp=sharing"",""งบพรบ!W85"")"),0)</f>
        <v>0</v>
      </c>
      <c r="N52" s="48">
        <f ca="1">IFERROR(__xludf.DUMMYFUNCTION("IMPORTRANGE(""https://docs.google.com/spreadsheets/d/1-uDff_7J0KD5mKrp0Vvzr7lt3OU09vwQwhkpOPPYv2Y/edit?usp=sharing"",""งบพรบ!Z85"")"),0)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435600</v>
      </c>
      <c r="M59" s="113">
        <f ca="1">M60+M61</f>
        <v>328850</v>
      </c>
      <c r="N59" s="113">
        <f ca="1">N60+N61</f>
        <v>150127.95000000001</v>
      </c>
      <c r="O59" s="113">
        <f ca="1">IF(L59&gt;0,N59*100/L59,0)</f>
        <v>34.464634986225903</v>
      </c>
      <c r="P59" s="113">
        <f ca="1">IF(M59&gt;0,N59*100/M59,0)</f>
        <v>45.652409913334353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435600</v>
      </c>
      <c r="M61" s="119">
        <f ca="1">M64+M67</f>
        <v>328850</v>
      </c>
      <c r="N61" s="119">
        <f ca="1">N64+N67</f>
        <v>150127.95000000001</v>
      </c>
      <c r="O61" s="119">
        <f ca="1">IF(L61&gt;0,N61*100/L61,0)</f>
        <v>34.464634986225903</v>
      </c>
      <c r="P61" s="119">
        <f ca="1">IF(M61&gt;0,N61*100/M61,0)</f>
        <v>45.652409913334353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435600</v>
      </c>
      <c r="M62" s="48">
        <f ca="1">M63+M64</f>
        <v>328850</v>
      </c>
      <c r="N62" s="48">
        <f ca="1">N63+N64</f>
        <v>150127.95000000001</v>
      </c>
      <c r="O62" s="48">
        <f ca="1">IF(L62&gt;0,N62*100/L62,0)</f>
        <v>34.464634986225903</v>
      </c>
      <c r="P62" s="48">
        <f ca="1">IF(M62&gt;0,N62*100/M62,0)</f>
        <v>45.652409913334353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IFERROR(__xludf.DUMMYFUNCTION("IMPORTRANGE(""https://docs.google.com/spreadsheets/d/1-uDff_7J0KD5mKrp0Vvzr7lt3OU09vwQwhkpOPPYv2Y/edit?usp=sharing"",""งบพรบ!AC85"")"),435600)</f>
        <v>435600</v>
      </c>
      <c r="M64" s="48">
        <f ca="1">IFERROR(__xludf.DUMMYFUNCTION("IMPORTRANGE(""https://docs.google.com/spreadsheets/d/1-uDff_7J0KD5mKrp0Vvzr7lt3OU09vwQwhkpOPPYv2Y/edit?usp=sharing"",""งบพรบ!AH85"")"),328850)</f>
        <v>328850</v>
      </c>
      <c r="N64" s="48">
        <f ca="1">IFERROR(__xludf.DUMMYFUNCTION("IMPORTRANGE(""https://docs.google.com/spreadsheets/d/1-uDff_7J0KD5mKrp0Vvzr7lt3OU09vwQwhkpOPPYv2Y/edit?usp=sharing"",""งบพรบ!AJ85"")"),150127.95)</f>
        <v>150127.95000000001</v>
      </c>
      <c r="O64" s="48">
        <f ca="1">IF(L64&gt;0,N64*100/L64,0)</f>
        <v>34.464634986225903</v>
      </c>
      <c r="P64" s="48">
        <f ca="1">IF(M64&gt;0,N64*100/M64,0)</f>
        <v>45.652409913334353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IFERROR(__xludf.DUMMYFUNCTION("IMPORTRANGE(""https://docs.google.com/spreadsheets/d/1-uDff_7J0KD5mKrp0Vvzr7lt3OU09vwQwhkpOPPYv2Y/edit?usp=sharing"",""งบพรบ!AF85"")"),0)</f>
        <v>0</v>
      </c>
      <c r="M67" s="59">
        <f ca="1">IFERROR(__xludf.DUMMYFUNCTION("IMPORTRANGE(""https://docs.google.com/spreadsheets/d/1-uDff_7J0KD5mKrp0Vvzr7lt3OU09vwQwhkpOPPYv2Y/edit?usp=sharing"",""งบพรบ!AI85"")"),0)</f>
        <v>0</v>
      </c>
      <c r="N67" s="59">
        <f ca="1">IFERROR(__xludf.DUMMYFUNCTION("IMPORTRANGE(""https://docs.google.com/spreadsheets/d/1-uDff_7J0KD5mKrp0Vvzr7lt3OU09vwQwhkpOPPYv2Y/edit?usp=sharing"",""งบพรบ!AK85"")"),0)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IFERROR(__xludf.DUMMYFUNCTION("IMPORTRANGE(""https://docs.google.com/spreadsheets/d/1-uDff_7J0KD5mKrp0Vvzr7lt3OU09vwQwhkpOPPYv2Y/edit?usp=sharing"",""งบพรบ!AM85"")"),0)</f>
        <v>0</v>
      </c>
      <c r="M77" s="48">
        <f ca="1">IFERROR(__xludf.DUMMYFUNCTION("IMPORTRANGE(""https://docs.google.com/spreadsheets/d/1-uDff_7J0KD5mKrp0Vvzr7lt3OU09vwQwhkpOPPYv2Y/edit?usp=sharing"",""งบพรบ!AR85"")"),0)</f>
        <v>0</v>
      </c>
      <c r="N77" s="48">
        <f ca="1">IFERROR(__xludf.DUMMYFUNCTION("IMPORTRANGE(""https://docs.google.com/spreadsheets/d/1-uDff_7J0KD5mKrp0Vvzr7lt3OU09vwQwhkpOPPYv2Y/edit?usp=sharing"",""งบพรบ!AT85"")"),0)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IFERROR(__xludf.DUMMYFUNCTION("IMPORTRANGE(""https://docs.google.com/spreadsheets/d/1-uDff_7J0KD5mKrp0Vvzr7lt3OU09vwQwhkpOPPYv2Y/edit?usp=sharing"",""งบพรบ!AP85"")"),0)</f>
        <v>0</v>
      </c>
      <c r="M80" s="48">
        <f ca="1">IFERROR(__xludf.DUMMYFUNCTION("IMPORTRANGE(""https://docs.google.com/spreadsheets/d/1-uDff_7J0KD5mKrp0Vvzr7lt3OU09vwQwhkpOPPYv2Y/edit?usp=sharing"",""งบพรบ!AS85"")"),0)</f>
        <v>0</v>
      </c>
      <c r="N80" s="48">
        <f ca="1">IFERROR(__xludf.DUMMYFUNCTION("IMPORTRANGE(""https://docs.google.com/spreadsheets/d/1-uDff_7J0KD5mKrp0Vvzr7lt3OU09vwQwhkpOPPYv2Y/edit?usp=sharing"",""งบพรบ!AU85"")"),0)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IFERROR(__xludf.DUMMYFUNCTION("IMPORTRANGE(""https://docs.google.com/spreadsheets/d/1eHaY18a8A9IcSdp1K8H6x8fbOy06t2VsZHhMHf-1x7Y/edit?usp=sharing"",""แผน!H85"")"),0)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IFERROR(__xludf.DUMMYFUNCTION("IMPORTRANGE(""https://docs.google.com/spreadsheets/d/1eHaY18a8A9IcSdp1K8H6x8fbOy06t2VsZHhMHf-1x7Y/edit?usp=sharing"",""แผน!I85"")"),0)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IFERROR(__xludf.DUMMYFUNCTION("IMPORTRANGE(""https://docs.google.com/spreadsheets/d/1eHaY18a8A9IcSdp1K8H6x8fbOy06t2VsZHhMHf-1x7Y/edit?usp=sharing"",""แผน!F85"")"),0)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IFERROR(__xludf.DUMMYFUNCTION("IMPORTRANGE(""https://docs.google.com/spreadsheets/d/1eHaY18a8A9IcSdp1K8H6x8fbOy06t2VsZHhMHf-1x7Y/edit?usp=sharing"",""แผน!G85"")"),0)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IFERROR(__xludf.DUMMYFUNCTION("IMPORTRANGE(""https://docs.google.com/spreadsheets/d/1eHaY18a8A9IcSdp1K8H6x8fbOy06t2VsZHhMHf-1x7Y/edit?usp=sharing"",""แผน!D85"")"),0)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IFERROR(__xludf.DUMMYFUNCTION("IMPORTRANGE(""https://docs.google.com/spreadsheets/d/1eHaY18a8A9IcSdp1K8H6x8fbOy06t2VsZHhMHf-1x7Y/edit?usp=sharing"",""แผน!E85"")"),0)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IFERROR(__xludf.DUMMYFUNCTION("IMPORTRANGE(""https://docs.google.com/spreadsheets/d/1eHaY18a8A9IcSdp1K8H6x8fbOy06t2VsZHhMHf-1x7Y/edit?usp=sharing"",""แผน!J85"")"),0)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IFERROR(__xludf.DUMMYFUNCTION("IMPORTRANGE(""https://docs.google.com/spreadsheets/d/1-uDff_7J0KD5mKrp0Vvzr7lt3OU09vwQwhkpOPPYv2Y/edit?usp=sharing"",""งบพรบ!AW85"")"),0)</f>
        <v>0</v>
      </c>
      <c r="M99" s="48">
        <f ca="1">IFERROR(__xludf.DUMMYFUNCTION("IMPORTRANGE(""https://docs.google.com/spreadsheets/d/1-uDff_7J0KD5mKrp0Vvzr7lt3OU09vwQwhkpOPPYv2Y/edit?usp=sharing"",""งบพรบ!BB85"")"),0)</f>
        <v>0</v>
      </c>
      <c r="N99" s="48">
        <f ca="1">IFERROR(__xludf.DUMMYFUNCTION("IMPORTRANGE(""https://docs.google.com/spreadsheets/d/1-uDff_7J0KD5mKrp0Vvzr7lt3OU09vwQwhkpOPPYv2Y/edit?usp=sharing"",""งบพรบ!BD85"")"),0)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IFERROR(__xludf.DUMMYFUNCTION("IMPORTRANGE(""https://docs.google.com/spreadsheets/d/1-uDff_7J0KD5mKrp0Vvzr7lt3OU09vwQwhkpOPPYv2Y/edit?usp=sharing"",""งบพรบ!AZ85"")"),0)</f>
        <v>0</v>
      </c>
      <c r="M102" s="48">
        <f ca="1">IFERROR(__xludf.DUMMYFUNCTION("IMPORTRANGE(""https://docs.google.com/spreadsheets/d/1-uDff_7J0KD5mKrp0Vvzr7lt3OU09vwQwhkpOPPYv2Y/edit?usp=sharing"",""งบพรบ!BC85"")"),0)</f>
        <v>0</v>
      </c>
      <c r="N102" s="48">
        <f ca="1">IFERROR(__xludf.DUMMYFUNCTION("IMPORTRANGE(""https://docs.google.com/spreadsheets/d/1-uDff_7J0KD5mKrp0Vvzr7lt3OU09vwQwhkpOPPYv2Y/edit?usp=sharing"",""งบพรบ!BE85"")"),0)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IFERROR(__xludf.DUMMYFUNCTION("IMPORTRANGE(""https://docs.google.com/spreadsheets/d/1eHaY18a8A9IcSdp1K8H6x8fbOy06t2VsZHhMHf-1x7Y/edit?usp=sharing"",""แผน!N85"")"),0)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IFERROR(__xludf.DUMMYFUNCTION("IMPORTRANGE(""https://docs.google.com/spreadsheets/d/1eHaY18a8A9IcSdp1K8H6x8fbOy06t2VsZHhMHf-1x7Y/edit?usp=sharing"",""แผน!O85"")"),0)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IFERROR(__xludf.DUMMYFUNCTION("IMPORTRANGE(""https://docs.google.com/spreadsheets/d/1eHaY18a8A9IcSdp1K8H6x8fbOy06t2VsZHhMHf-1x7Y/edit?usp=sharing"",""แผน!R85"")"),0)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IFERROR(__xludf.DUMMYFUNCTION("IMPORTRANGE(""https://docs.google.com/spreadsheets/d/1-uDff_7J0KD5mKrp0Vvzr7lt3OU09vwQwhkpOPPYv2Y/edit?usp=sharing"",""งบพรบ!BG85"")"),0)</f>
        <v>0</v>
      </c>
      <c r="M130" s="178">
        <f ca="1">IFERROR(__xludf.DUMMYFUNCTION("IMPORTRANGE(""https://docs.google.com/spreadsheets/d/1-uDff_7J0KD5mKrp0Vvzr7lt3OU09vwQwhkpOPPYv2Y/edit?usp=sharing"",""งบพรบ!BL85"")"),0)</f>
        <v>0</v>
      </c>
      <c r="N130" s="178">
        <f ca="1">IFERROR(__xludf.DUMMYFUNCTION("IMPORTRANGE(""https://docs.google.com/spreadsheets/d/1-uDff_7J0KD5mKrp0Vvzr7lt3OU09vwQwhkpOPPYv2Y/edit?usp=sharing"",""งบพรบ!BN85"")"),0)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IFERROR(__xludf.DUMMYFUNCTION("IMPORTRANGE(""https://docs.google.com/spreadsheets/d/1-uDff_7J0KD5mKrp0Vvzr7lt3OU09vwQwhkpOPPYv2Y/edit?usp=sharing"",""งบพรบ!BJ85"")"),0)</f>
        <v>0</v>
      </c>
      <c r="M133" s="178">
        <f ca="1">IFERROR(__xludf.DUMMYFUNCTION("IMPORTRANGE(""https://docs.google.com/spreadsheets/d/1-uDff_7J0KD5mKrp0Vvzr7lt3OU09vwQwhkpOPPYv2Y/edit?usp=sharing"",""งบพรบ!BM85"")"),0)</f>
        <v>0</v>
      </c>
      <c r="N133" s="178">
        <f ca="1">IFERROR(__xludf.DUMMYFUNCTION("IMPORTRANGE(""https://docs.google.com/spreadsheets/d/1-uDff_7J0KD5mKrp0Vvzr7lt3OU09vwQwhkpOPPYv2Y/edit?usp=sharing"",""งบพรบ!BO85"")"),0)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2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30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3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66500</v>
      </c>
      <c r="M139" s="141">
        <f ca="1">M140+M141</f>
        <v>61500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66500</v>
      </c>
      <c r="M141" s="48">
        <f ca="1">M144+M147</f>
        <v>61500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66500</v>
      </c>
      <c r="M142" s="48">
        <f ca="1">M143+M144</f>
        <v>61500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IFERROR(__xludf.DUMMYFUNCTION("IMPORTRANGE(""https://docs.google.com/spreadsheets/d/1-uDff_7J0KD5mKrp0Vvzr7lt3OU09vwQwhkpOPPYv2Y/edit?usp=sharing"",""งบพรบ!BQ85"")"),66500)</f>
        <v>66500</v>
      </c>
      <c r="M144" s="48">
        <f ca="1">IFERROR(__xludf.DUMMYFUNCTION("IMPORTRANGE(""https://docs.google.com/spreadsheets/d/1-uDff_7J0KD5mKrp0Vvzr7lt3OU09vwQwhkpOPPYv2Y/edit?usp=sharing"",""งบพรบ!BV85"")"),61500)</f>
        <v>61500</v>
      </c>
      <c r="N144" s="48">
        <f ca="1">IFERROR(__xludf.DUMMYFUNCTION("IMPORTRANGE(""https://docs.google.com/spreadsheets/d/1-uDff_7J0KD5mKrp0Vvzr7lt3OU09vwQwhkpOPPYv2Y/edit?usp=sharing"",""งบพรบ!BX85"")"),0)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IFERROR(__xludf.DUMMYFUNCTION("IMPORTRANGE(""https://docs.google.com/spreadsheets/d/1-uDff_7J0KD5mKrp0Vvzr7lt3OU09vwQwhkpOPPYv2Y/edit?usp=sharing"",""งบพรบ!BT85"")"),0)</f>
        <v>0</v>
      </c>
      <c r="M147" s="48">
        <f ca="1">IFERROR(__xludf.DUMMYFUNCTION("IMPORTRANGE(""https://docs.google.com/spreadsheets/d/1-uDff_7J0KD5mKrp0Vvzr7lt3OU09vwQwhkpOPPYv2Y/edit?usp=sharing"",""งบพรบ!BW85"")"),0)</f>
        <v>0</v>
      </c>
      <c r="N147" s="48">
        <f ca="1">IFERROR(__xludf.DUMMYFUNCTION("IMPORTRANGE(""https://docs.google.com/spreadsheets/d/1-uDff_7J0KD5mKrp0Vvzr7lt3OU09vwQwhkpOPPYv2Y/edit?usp=sharing"",""งบพรบ!BY85"")"),0)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IFERROR(__xludf.DUMMYFUNCTION("IMPORTRANGE(""https://docs.google.com/spreadsheets/d/1eHaY18a8A9IcSdp1K8H6x8fbOy06t2VsZHhMHf-1x7Y/edit?usp=sharing"",""แผน!U85"")"),20)</f>
        <v>20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IFERROR(__xludf.DUMMYFUNCTION("IMPORTRANGE(""https://docs.google.com/spreadsheets/d/1eHaY18a8A9IcSdp1K8H6x8fbOy06t2VsZHhMHf-1x7Y/edit?usp=sharing"",""แผน!V85"")"),2)</f>
        <v>2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IFERROR(__xludf.DUMMYFUNCTION("IMPORTRANGE(""https://docs.google.com/spreadsheets/d/1eHaY18a8A9IcSdp1K8H6x8fbOy06t2VsZHhMHf-1x7Y/edit?usp=sharing"",""แผน!W85"")"),30)</f>
        <v>30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IFERROR(__xludf.DUMMYFUNCTION("IMPORTRANGE(""https://docs.google.com/spreadsheets/d/1eHaY18a8A9IcSdp1K8H6x8fbOy06t2VsZHhMHf-1x7Y/edit?usp=sharing"",""แผน!X85"")"),3)</f>
        <v>3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IFERROR(__xludf.DUMMYFUNCTION("IMPORTRANGE(""https://docs.google.com/spreadsheets/d/1eHaY18a8A9IcSdp1K8H6x8fbOy06t2VsZHhMHf-1x7Y/edit?usp=sharing"",""แผน!Y85"")"),2)</f>
        <v>2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IFERROR(__xludf.DUMMYFUNCTION("IMPORTRANGE(""https://docs.google.com/spreadsheets/d/1-uDff_7J0KD5mKrp0Vvzr7lt3OU09vwQwhkpOPPYv2Y/edit?usp=sharing"",""งบพรบ!CA85"")"),0)</f>
        <v>0</v>
      </c>
      <c r="M162" s="48">
        <f ca="1">IFERROR(__xludf.DUMMYFUNCTION("IMPORTRANGE(""https://docs.google.com/spreadsheets/d/1-uDff_7J0KD5mKrp0Vvzr7lt3OU09vwQwhkpOPPYv2Y/edit?usp=sharing"",""งบพรบ!CF85"")"),0)</f>
        <v>0</v>
      </c>
      <c r="N162" s="48">
        <f ca="1">IFERROR(__xludf.DUMMYFUNCTION("IMPORTRANGE(""https://docs.google.com/spreadsheets/d/1-uDff_7J0KD5mKrp0Vvzr7lt3OU09vwQwhkpOPPYv2Y/edit?usp=sharing"",""งบพรบ!CH85"")"),0)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IFERROR(__xludf.DUMMYFUNCTION("IMPORTRANGE(""https://docs.google.com/spreadsheets/d/1-uDff_7J0KD5mKrp0Vvzr7lt3OU09vwQwhkpOPPYv2Y/edit?usp=sharing"",""งบพรบ!CD85"")"),0)</f>
        <v>0</v>
      </c>
      <c r="M165" s="48">
        <f ca="1">IFERROR(__xludf.DUMMYFUNCTION("IMPORTRANGE(""https://docs.google.com/spreadsheets/d/1-uDff_7J0KD5mKrp0Vvzr7lt3OU09vwQwhkpOPPYv2Y/edit?usp=sharing"",""งบพรบ!CG85"")"),0)</f>
        <v>0</v>
      </c>
      <c r="N165" s="48">
        <f ca="1">IFERROR(__xludf.DUMMYFUNCTION("IMPORTRANGE(""https://docs.google.com/spreadsheets/d/1-uDff_7J0KD5mKrp0Vvzr7lt3OU09vwQwhkpOPPYv2Y/edit?usp=sharing"",""งบพรบ!CI85"")"),0)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IFERROR(__xludf.DUMMYFUNCTION("IMPORTRANGE(""https://docs.google.com/spreadsheets/d/1eHaY18a8A9IcSdp1K8H6x8fbOy06t2VsZHhMHf-1x7Y/edit?usp=sharing"",""แผน!Z85"")"),0)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IFERROR(__xludf.DUMMYFUNCTION("IMPORTRANGE(""https://docs.google.com/spreadsheets/d/1eHaY18a8A9IcSdp1K8H6x8fbOy06t2VsZHhMHf-1x7Y/edit?usp=sharing"",""แผน!Z85"")"),0)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IFERROR(__xludf.DUMMYFUNCTION("IMPORTRANGE(""https://docs.google.com/spreadsheets/d/1eHaY18a8A9IcSdp1K8H6x8fbOy06t2VsZHhMHf-1x7Y/edit?usp=sharing"",""แผน!Z85"")"),0)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0</v>
      </c>
      <c r="O173" s="141">
        <f ca="1">IF(L173&gt;0,N173*100/L173,0)</f>
        <v>0</v>
      </c>
      <c r="P173" s="141">
        <f ca="1">IF(M173&gt;0,N173*100/M173,0)</f>
        <v>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0</v>
      </c>
      <c r="O175" s="48">
        <f ca="1">IF(L175&gt;0,N175*100/L175,0)</f>
        <v>0</v>
      </c>
      <c r="P175" s="48">
        <f ca="1">IF(M175&gt;0,N175*100/M175,0)</f>
        <v>0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0</v>
      </c>
      <c r="O176" s="48">
        <f ca="1">IF(L176&gt;0,N176*100/L176,0)</f>
        <v>0</v>
      </c>
      <c r="P176" s="48">
        <f ca="1">IF(M176&gt;0,N176*100/M176,0)</f>
        <v>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IFERROR(__xludf.DUMMYFUNCTION("IMPORTRANGE(""https://docs.google.com/spreadsheets/d/1-uDff_7J0KD5mKrp0Vvzr7lt3OU09vwQwhkpOPPYv2Y/edit?usp=sharing"",""งบพรบ!CK85"")"),19590)</f>
        <v>19590</v>
      </c>
      <c r="M178" s="48">
        <f ca="1">IFERROR(__xludf.DUMMYFUNCTION("IMPORTRANGE(""https://docs.google.com/spreadsheets/d/1-uDff_7J0KD5mKrp0Vvzr7lt3OU09vwQwhkpOPPYv2Y/edit?usp=sharing"",""งบพรบ!CP85"")"),19590)</f>
        <v>19590</v>
      </c>
      <c r="N178" s="48">
        <f ca="1">IFERROR(__xludf.DUMMYFUNCTION("IMPORTRANGE(""https://docs.google.com/spreadsheets/d/1-uDff_7J0KD5mKrp0Vvzr7lt3OU09vwQwhkpOPPYv2Y/edit?usp=sharing"",""งบพรบ!CR85"")"),0)</f>
        <v>0</v>
      </c>
      <c r="O178" s="48">
        <f ca="1">IF(L178&gt;0,N178*100/L178,0)</f>
        <v>0</v>
      </c>
      <c r="P178" s="48">
        <f ca="1">IF(M178&gt;0,N178*100/M178,0)</f>
        <v>0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IFERROR(__xludf.DUMMYFUNCTION("IMPORTRANGE(""https://docs.google.com/spreadsheets/d/1-uDff_7J0KD5mKrp0Vvzr7lt3OU09vwQwhkpOPPYv2Y/edit?usp=sharing"",""งบพรบ!CN85"")"),0)</f>
        <v>0</v>
      </c>
      <c r="M181" s="48">
        <f ca="1">IFERROR(__xludf.DUMMYFUNCTION("IMPORTRANGE(""https://docs.google.com/spreadsheets/d/1-uDff_7J0KD5mKrp0Vvzr7lt3OU09vwQwhkpOPPYv2Y/edit?usp=sharing"",""งบพรบ!CQ85"")"),0)</f>
        <v>0</v>
      </c>
      <c r="N181" s="48">
        <f ca="1">IFERROR(__xludf.DUMMYFUNCTION("IMPORTRANGE(""https://docs.google.com/spreadsheets/d/1-uDff_7J0KD5mKrp0Vvzr7lt3OU09vwQwhkpOPPYv2Y/edit?usp=sharing"",""งบพรบ!CS85"")"),0)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IFERROR(__xludf.DUMMYFUNCTION("IMPORTRANGE(""https://docs.google.com/spreadsheets/d/1eHaY18a8A9IcSdp1K8H6x8fbOy06t2VsZHhMHf-1x7Y/edit?usp=sharing"",""แผน!AA85"")"),7)</f>
        <v>7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270600</v>
      </c>
      <c r="M186" s="141">
        <f ca="1">M187+M188</f>
        <v>190000</v>
      </c>
      <c r="N186" s="141">
        <f ca="1">N187+N188</f>
        <v>33540</v>
      </c>
      <c r="O186" s="141">
        <f ca="1">IF(L186&gt;0,N186*100/L186,0)</f>
        <v>12.394678492239468</v>
      </c>
      <c r="P186" s="141">
        <f ca="1">IF(M186&gt;0,N186*100/M186,0)</f>
        <v>17.652631578947368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270600</v>
      </c>
      <c r="M188" s="48">
        <f ca="1">M191+M194</f>
        <v>190000</v>
      </c>
      <c r="N188" s="48">
        <f ca="1">N191+N194</f>
        <v>33540</v>
      </c>
      <c r="O188" s="48">
        <f ca="1">IF(L188&gt;0,N188*100/L188,0)</f>
        <v>12.394678492239468</v>
      </c>
      <c r="P188" s="48">
        <f ca="1">IF(M188&gt;0,N188*100/M188,0)</f>
        <v>17.652631578947368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270600</v>
      </c>
      <c r="M189" s="48">
        <f ca="1">M190+M191</f>
        <v>190000</v>
      </c>
      <c r="N189" s="48">
        <f ca="1">N190+N191</f>
        <v>33540</v>
      </c>
      <c r="O189" s="48">
        <f ca="1">IF(L189&gt;0,N189*100/L189,0)</f>
        <v>12.394678492239468</v>
      </c>
      <c r="P189" s="48">
        <f ca="1">IF(M189&gt;0,N189*100/M189,0)</f>
        <v>17.652631578947368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IFERROR(__xludf.DUMMYFUNCTION("IMPORTRANGE(""https://docs.google.com/spreadsheets/d/1-uDff_7J0KD5mKrp0Vvzr7lt3OU09vwQwhkpOPPYv2Y/edit?usp=sharing"",""งบพรบ!CU85"")"),270600)</f>
        <v>270600</v>
      </c>
      <c r="M191" s="48">
        <f ca="1">IFERROR(__xludf.DUMMYFUNCTION("IMPORTRANGE(""https://docs.google.com/spreadsheets/d/1-uDff_7J0KD5mKrp0Vvzr7lt3OU09vwQwhkpOPPYv2Y/edit?usp=sharing"",""งบพรบ!CZ85"")"),190000)</f>
        <v>190000</v>
      </c>
      <c r="N191" s="48">
        <f ca="1">IFERROR(__xludf.DUMMYFUNCTION("IMPORTRANGE(""https://docs.google.com/spreadsheets/d/1-uDff_7J0KD5mKrp0Vvzr7lt3OU09vwQwhkpOPPYv2Y/edit?usp=sharing"",""งบพรบ!DB85"")"),33540)</f>
        <v>33540</v>
      </c>
      <c r="O191" s="48">
        <f ca="1">IF(L191&gt;0,N191*100/L191,0)</f>
        <v>12.394678492239468</v>
      </c>
      <c r="P191" s="48">
        <f ca="1">IF(M191&gt;0,N191*100/M191,0)</f>
        <v>17.652631578947368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IFERROR(__xludf.DUMMYFUNCTION("IMPORTRANGE(""https://docs.google.com/spreadsheets/d/1-uDff_7J0KD5mKrp0Vvzr7lt3OU09vwQwhkpOPPYv2Y/edit?usp=sharing"",""งบพรบ!CX85"")"),0)</f>
        <v>0</v>
      </c>
      <c r="M194" s="48">
        <f ca="1">IFERROR(__xludf.DUMMYFUNCTION("IMPORTRANGE(""https://docs.google.com/spreadsheets/d/1-uDff_7J0KD5mKrp0Vvzr7lt3OU09vwQwhkpOPPYv2Y/edit?usp=sharing"",""งบพรบ!DA85"")"),0)</f>
        <v>0</v>
      </c>
      <c r="N194" s="48">
        <f ca="1">IFERROR(__xludf.DUMMYFUNCTION("IMPORTRANGE(""https://docs.google.com/spreadsheets/d/1-uDff_7J0KD5mKrp0Vvzr7lt3OU09vwQwhkpOPPYv2Y/edit?usp=sharing"",""งบพรบ!DC85"")"),0)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IFERROR(__xludf.DUMMYFUNCTION("IMPORTRANGE(""https://docs.google.com/spreadsheets/d/1eHaY18a8A9IcSdp1K8H6x8fbOy06t2VsZHhMHf-1x7Y/edit?usp=sharing"",""แผน!AB85"")"),6000)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IFERROR(__xludf.DUMMYFUNCTION("IMPORTRANGE(""https://docs.google.com/spreadsheets/d/1eHaY18a8A9IcSdp1K8H6x8fbOy06t2VsZHhMHf-1x7Y/edit?usp=sharing"",""แผน!AE85"")"),4)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1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13000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IFERROR(__xludf.DUMMYFUNCTION("IMPORTRANGE(""https://docs.google.com/spreadsheets/d/1eHaY18a8A9IcSdp1K8H6x8fbOy06t2VsZHhMHf-1x7Y/edit?usp=sharing"",""แผน!AG85"")"),1000)</f>
        <v>1000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IFERROR(__xludf.DUMMYFUNCTION("IMPORTRANGE(""https://docs.google.com/spreadsheets/d/1eHaY18a8A9IcSdp1K8H6x8fbOy06t2VsZHhMHf-1x7Y/edit?usp=sharing"",""แผน!AH85"")"),0)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IFERROR(__xludf.DUMMYFUNCTION("IMPORTRANGE(""https://docs.google.com/spreadsheets/d/1eHaY18a8A9IcSdp1K8H6x8fbOy06t2VsZHhMHf-1x7Y/edit?usp=sharing"",""แผน!AI85"")"),8000)</f>
        <v>8000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IFERROR(__xludf.DUMMYFUNCTION("IMPORTRANGE(""https://docs.google.com/spreadsheets/d/1eHaY18a8A9IcSdp1K8H6x8fbOy06t2VsZHhMHf-1x7Y/edit?usp=sharing"",""แผน!AJ85"")"),4000)</f>
        <v>4000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IFERROR(__xludf.DUMMYFUNCTION("IMPORTRANGE(""https://docs.google.com/spreadsheets/d/1eHaY18a8A9IcSdp1K8H6x8fbOy06t2VsZHhMHf-1x7Y/edit?usp=sharing"",""แผน!AK85"")"),1)</f>
        <v>1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IFERROR(__xludf.DUMMYFUNCTION("IMPORTRANGE(""https://docs.google.com/spreadsheets/d/1eHaY18a8A9IcSdp1K8H6x8fbOy06t2VsZHhMHf-1x7Y/edit?usp=sharing"",""แผน!AK85"")"),1)</f>
        <v>1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IFERROR(__xludf.DUMMYFUNCTION("IMPORTRANGE(""https://docs.google.com/spreadsheets/d/1eHaY18a8A9IcSdp1K8H6x8fbOy06t2VsZHhMHf-1x7Y/edit?usp=sharing"",""แผน!AK85"")"),1)</f>
        <v>1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IFERROR(__xludf.DUMMYFUNCTION("IMPORTRANGE(""https://docs.google.com/spreadsheets/d/1eHaY18a8A9IcSdp1K8H6x8fbOy06t2VsZHhMHf-1x7Y/edit?usp=sharing"",""แผน!AM85"")"),0)</f>
        <v>0</v>
      </c>
      <c r="M215" s="47"/>
      <c r="N215" s="249">
        <v>0</v>
      </c>
      <c r="O215" s="146"/>
      <c r="P215" s="47"/>
    </row>
    <row r="216" spans="1:16" ht="18.75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IFERROR(__xludf.DUMMYFUNCTION("IMPORTRANGE(""https://docs.google.com/spreadsheets/d/1eHaY18a8A9IcSdp1K8H6x8fbOy06t2VsZHhMHf-1x7Y/edit?usp=sharing"",""แผน!AN85"")"),0)</f>
        <v>0</v>
      </c>
      <c r="M216" s="47"/>
      <c r="N216" s="249">
        <v>0</v>
      </c>
      <c r="O216" s="146"/>
      <c r="P216" s="47"/>
    </row>
    <row r="217" spans="1:16" ht="18.75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IFERROR(__xludf.DUMMYFUNCTION("IMPORTRANGE(""https://docs.google.com/spreadsheets/d/1eHaY18a8A9IcSdp1K8H6x8fbOy06t2VsZHhMHf-1x7Y/edit?usp=sharing"",""แผน!AO85"")"),0)</f>
        <v>0</v>
      </c>
      <c r="M217" s="47"/>
      <c r="N217" s="249">
        <v>0</v>
      </c>
      <c r="O217" s="146"/>
      <c r="P217" s="47"/>
    </row>
    <row r="218" spans="1:16" ht="19.5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IFERROR(__xludf.DUMMYFUNCTION("IMPORTRANGE(""https://docs.google.com/spreadsheets/d/1eHaY18a8A9IcSdp1K8H6x8fbOy06t2VsZHhMHf-1x7Y/edit?usp=sharing"",""แผน!AP85"")"),0)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IFERROR(__xludf.DUMMYFUNCTION("IMPORTRANGE(""https://docs.google.com/spreadsheets/d/1eHaY18a8A9IcSdp1K8H6x8fbOy06t2VsZHhMHf-1x7Y/edit?usp=sharing"",""แผน!AP85"")"),0)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12800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IFERROR(__xludf.DUMMYFUNCTION("IMPORTRANGE(""https://docs.google.com/spreadsheets/d/1eHaY18a8A9IcSdp1K8H6x8fbOy06t2VsZHhMHf-1x7Y/edit?usp=sharing"",""แผน!AR85"")"),3000)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IFERROR(__xludf.DUMMYFUNCTION("IMPORTRANGE(""https://docs.google.com/spreadsheets/d/1eHaY18a8A9IcSdp1K8H6x8fbOy06t2VsZHhMHf-1x7Y/edit?usp=sharing"",""แผน!AS85"")"),1500)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IFERROR(__xludf.DUMMYFUNCTION("IMPORTRANGE(""https://docs.google.com/spreadsheets/d/1eHaY18a8A9IcSdp1K8H6x8fbOy06t2VsZHhMHf-1x7Y/edit?usp=sharing"",""แผน!AT85"")"),0)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IFERROR(__xludf.DUMMYFUNCTION("IMPORTRANGE(""https://docs.google.com/spreadsheets/d/1eHaY18a8A9IcSdp1K8H6x8fbOy06t2VsZHhMHf-1x7Y/edit?usp=sharing"",""แผน!AV85"")"),12800)</f>
        <v>12800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IFERROR(__xludf.DUMMYFUNCTION("IMPORTRANGE(""https://docs.google.com/spreadsheets/d/1eHaY18a8A9IcSdp1K8H6x8fbOy06t2VsZHhMHf-1x7Y/edit?usp=sharing"",""แผน!AV85"")"),12800)</f>
        <v>12800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IFERROR(__xludf.DUMMYFUNCTION("IMPORTRANGE(""https://docs.google.com/spreadsheets/d/1eHaY18a8A9IcSdp1K8H6x8fbOy06t2VsZHhMHf-1x7Y/edit?usp=sharing"",""แผน!AU85"")"),0)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IFERROR(__xludf.DUMMYFUNCTION("IMPORTRANGE(""https://docs.google.com/spreadsheets/d/1eHaY18a8A9IcSdp1K8H6x8fbOy06t2VsZHhMHf-1x7Y/edit?usp=sharing"",""แผน!AX85"")"),0)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IFERROR(__xludf.DUMMYFUNCTION("IMPORTRANGE(""https://docs.google.com/spreadsheets/d/1eHaY18a8A9IcSdp1K8H6x8fbOy06t2VsZHhMHf-1x7Y/edit?usp=sharing"",""แผน!AY85"")"),0)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IFERROR(__xludf.DUMMYFUNCTION("IMPORTRANGE(""https://docs.google.com/spreadsheets/d/1eHaY18a8A9IcSdp1K8H6x8fbOy06t2VsZHhMHf-1x7Y/edit?usp=sharing"",""แผน!AZ85"")"),0)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IFERROR(__xludf.DUMMYFUNCTION("IMPORTRANGE(""https://docs.google.com/spreadsheets/d/1eHaY18a8A9IcSdp1K8H6x8fbOy06t2VsZHhMHf-1x7Y/edit?usp=sharing"",""แผน!BA85"")"),0)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IFERROR(__xludf.DUMMYFUNCTION("IMPORTRANGE(""https://docs.google.com/spreadsheets/d/1eHaY18a8A9IcSdp1K8H6x8fbOy06t2VsZHhMHf-1x7Y/edit?usp=sharing"",""แผน!BG85"")"),0)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IFERROR(__xludf.DUMMYFUNCTION("IMPORTRANGE(""https://docs.google.com/spreadsheets/d/1eHaY18a8A9IcSdp1K8H6x8fbOy06t2VsZHhMHf-1x7Y/edit?usp=sharing"",""แผน!BB85"")"),0)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IFERROR(__xludf.DUMMYFUNCTION("IMPORTRANGE(""https://docs.google.com/spreadsheets/d/1eHaY18a8A9IcSdp1K8H6x8fbOy06t2VsZHhMHf-1x7Y/edit?usp=sharing"",""แผน!BC85"")"),0)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IFERROR(__xludf.DUMMYFUNCTION("IMPORTRANGE(""https://docs.google.com/spreadsheets/d/1eHaY18a8A9IcSdp1K8H6x8fbOy06t2VsZHhMHf-1x7Y/edit?usp=sharing"",""แผน!BD85"")"),0)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IFERROR(__xludf.DUMMYFUNCTION("IMPORTRANGE(""https://docs.google.com/spreadsheets/d/1eHaY18a8A9IcSdp1K8H6x8fbOy06t2VsZHhMHf-1x7Y/edit?usp=sharing"",""แผน!BE85"")"),0)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IFERROR(__xludf.DUMMYFUNCTION("IMPORTRANGE(""https://docs.google.com/spreadsheets/d/1eHaY18a8A9IcSdp1K8H6x8fbOy06t2VsZHhMHf-1x7Y/edit?usp=sharing"",""แผน!BH85"")"),0)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IFERROR(__xludf.DUMMYFUNCTION("IMPORTRANGE(""https://docs.google.com/spreadsheets/d/1-uDff_7J0KD5mKrp0Vvzr7lt3OU09vwQwhkpOPPYv2Y/edit?usp=sharing"",""งบพรบ!DE85"")"),0)</f>
        <v>0</v>
      </c>
      <c r="M271" s="51">
        <f ca="1">IFERROR(__xludf.DUMMYFUNCTION("IMPORTRANGE(""https://docs.google.com/spreadsheets/d/1-uDff_7J0KD5mKrp0Vvzr7lt3OU09vwQwhkpOPPYv2Y/edit?usp=sharing"",""งบพรบ!DJ85"")"),0)</f>
        <v>0</v>
      </c>
      <c r="N271" s="51">
        <f ca="1">IFERROR(__xludf.DUMMYFUNCTION("IMPORTRANGE(""https://docs.google.com/spreadsheets/d/1-uDff_7J0KD5mKrp0Vvzr7lt3OU09vwQwhkpOPPYv2Y/edit?usp=sharing"",""งบพรบ!DL85"")"),0)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IFERROR(__xludf.DUMMYFUNCTION("IMPORTRANGE(""https://docs.google.com/spreadsheets/d/1-uDff_7J0KD5mKrp0Vvzr7lt3OU09vwQwhkpOPPYv2Y/edit?usp=sharing"",""งบพรบ!DH85"")"),0)</f>
        <v>0</v>
      </c>
      <c r="M274" s="51">
        <f ca="1">IFERROR(__xludf.DUMMYFUNCTION("IMPORTRANGE(""https://docs.google.com/spreadsheets/d/1-uDff_7J0KD5mKrp0Vvzr7lt3OU09vwQwhkpOPPYv2Y/edit?usp=sharing"",""งบพรบ!DK85"")"),0)</f>
        <v>0</v>
      </c>
      <c r="N274" s="51">
        <f ca="1">IFERROR(__xludf.DUMMYFUNCTION("IMPORTRANGE(""https://docs.google.com/spreadsheets/d/1-uDff_7J0KD5mKrp0Vvzr7lt3OU09vwQwhkpOPPYv2Y/edit?usp=sharing"",""งบพรบ!DM85"")"),0)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IFERROR(__xludf.DUMMYFUNCTION("IMPORTRANGE(""https://docs.google.com/spreadsheets/d/1-uDff_7J0KD5mKrp0Vvzr7lt3OU09vwQwhkpOPPYv2Y/edit?usp=sharing"",""งบพรบ!DO85"")"),0)</f>
        <v>0</v>
      </c>
      <c r="M287" s="48">
        <f ca="1">IFERROR(__xludf.DUMMYFUNCTION("IMPORTRANGE(""https://docs.google.com/spreadsheets/d/1-uDff_7J0KD5mKrp0Vvzr7lt3OU09vwQwhkpOPPYv2Y/edit?usp=sharing"",""งบพรบ!DT85"")"),0)</f>
        <v>0</v>
      </c>
      <c r="N287" s="48">
        <f ca="1">IFERROR(__xludf.DUMMYFUNCTION("IMPORTRANGE(""https://docs.google.com/spreadsheets/d/1-uDff_7J0KD5mKrp0Vvzr7lt3OU09vwQwhkpOPPYv2Y/edit?usp=sharing"",""งบพรบ!DV85"")"),0)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IFERROR(__xludf.DUMMYFUNCTION("IMPORTRANGE(""https://docs.google.com/spreadsheets/d/1-uDff_7J0KD5mKrp0Vvzr7lt3OU09vwQwhkpOPPYv2Y/edit?usp=sharing"",""งบพรบ!DR85"")"),0)</f>
        <v>0</v>
      </c>
      <c r="M290" s="48">
        <f ca="1">IFERROR(__xludf.DUMMYFUNCTION("IMPORTRANGE(""https://docs.google.com/spreadsheets/d/1-uDff_7J0KD5mKrp0Vvzr7lt3OU09vwQwhkpOPPYv2Y/edit?usp=sharing"",""งบพรบ!DU85"")"),0)</f>
        <v>0</v>
      </c>
      <c r="N290" s="48">
        <f ca="1">IFERROR(__xludf.DUMMYFUNCTION("IMPORTRANGE(""https://docs.google.com/spreadsheets/d/1-uDff_7J0KD5mKrp0Vvzr7lt3OU09vwQwhkpOPPYv2Y/edit?usp=sharing"",""งบพรบ!DW85"")"),0)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IFERROR(__xludf.DUMMYFUNCTION("IMPORTRANGE(""https://docs.google.com/spreadsheets/d/1eHaY18a8A9IcSdp1K8H6x8fbOy06t2VsZHhMHf-1x7Y/edit?usp=sharing"",""แผน!EE85"")"),0)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IFERROR(__xludf.DUMMYFUNCTION("IMPORTRANGE(""https://docs.google.com/spreadsheets/d/1eHaY18a8A9IcSdp1K8H6x8fbOy06t2VsZHhMHf-1x7Y/edit?usp=sharing"",""แผน!ED85"")"),0)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IFERROR(__xludf.DUMMYFUNCTION("IMPORTRANGE(""https://docs.google.com/spreadsheets/d/1eHaY18a8A9IcSdp1K8H6x8fbOy06t2VsZHhMHf-1x7Y/edit?usp=sharing"",""แผน!ED85"")"),0)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IFERROR(__xludf.DUMMYFUNCTION("IMPORTRANGE(""https://docs.google.com/spreadsheets/d/1eHaY18a8A9IcSdp1K8H6x8fbOy06t2VsZHhMHf-1x7Y/edit?usp=sharing"",""แผน!ED85"")"),0)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IFERROR(__xludf.DUMMYFUNCTION("IMPORTRANGE(""https://docs.google.com/spreadsheets/d/1-uDff_7J0KD5mKrp0Vvzr7lt3OU09vwQwhkpOPPYv2Y/edit?usp=sharing"",""งบพรบ!DY85"")"),0)</f>
        <v>0</v>
      </c>
      <c r="M308" s="48">
        <f ca="1">IFERROR(__xludf.DUMMYFUNCTION("IMPORTRANGE(""https://docs.google.com/spreadsheets/d/1-uDff_7J0KD5mKrp0Vvzr7lt3OU09vwQwhkpOPPYv2Y/edit?usp=sharing"",""งบพรบ!ED85"")"),0)</f>
        <v>0</v>
      </c>
      <c r="N308" s="48">
        <f ca="1">IFERROR(__xludf.DUMMYFUNCTION("IMPORTRANGE(""https://docs.google.com/spreadsheets/d/1-uDff_7J0KD5mKrp0Vvzr7lt3OU09vwQwhkpOPPYv2Y/edit?usp=sharing"",""งบพรบ!EF85"")"),0)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IFERROR(__xludf.DUMMYFUNCTION("IMPORTRANGE(""https://docs.google.com/spreadsheets/d/1-uDff_7J0KD5mKrp0Vvzr7lt3OU09vwQwhkpOPPYv2Y/edit?usp=sharing"",""งบพรบ!EB85"")"),0)</f>
        <v>0</v>
      </c>
      <c r="M311" s="48">
        <f ca="1">IFERROR(__xludf.DUMMYFUNCTION("IMPORTRANGE(""https://docs.google.com/spreadsheets/d/1-uDff_7J0KD5mKrp0Vvzr7lt3OU09vwQwhkpOPPYv2Y/edit?usp=sharing"",""งบพรบ!EE85"")"),0)</f>
        <v>0</v>
      </c>
      <c r="N311" s="48">
        <f ca="1">IFERROR(__xludf.DUMMYFUNCTION("IMPORTRANGE(""https://docs.google.com/spreadsheets/d/1-uDff_7J0KD5mKrp0Vvzr7lt3OU09vwQwhkpOPPYv2Y/edit?usp=sharing"",""งบพรบ!EG85"")"),0)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IFERROR(__xludf.DUMMYFUNCTION("IMPORTRANGE(""https://docs.google.com/spreadsheets/d/1eHaY18a8A9IcSdp1K8H6x8fbOy06t2VsZHhMHf-1x7Y/edit?usp=sharing"",""แผน!EF85"")"),0)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IFERROR(__xludf.DUMMYFUNCTION("IMPORTRANGE(""https://docs.google.com/spreadsheets/d/1eHaY18a8A9IcSdp1K8H6x8fbOy06t2VsZHhMHf-1x7Y/edit?usp=sharing"",""แผน!EG85"")"),0)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IFERROR(__xludf.DUMMYFUNCTION("IMPORTRANGE(""https://docs.google.com/spreadsheets/d/1eHaY18a8A9IcSdp1K8H6x8fbOy06t2VsZHhMHf-1x7Y/edit?usp=sharing"",""แผน!EH85"")"),0)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IFERROR(__xludf.DUMMYFUNCTION("IMPORTRANGE(""https://docs.google.com/spreadsheets/d/1eHaY18a8A9IcSdp1K8H6x8fbOy06t2VsZHhMHf-1x7Y/edit?usp=sharing"",""แผน!EI85"")"),0)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hidden="1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IFERROR(__xludf.DUMMYFUNCTION("IMPORTRANGE(""https://docs.google.com/spreadsheets/d/1-uDff_7J0KD5mKrp0Vvzr7lt3OU09vwQwhkpOPPYv2Y/edit?usp=sharing"",""งบพรบ!EI85"")"),0)</f>
        <v>0</v>
      </c>
      <c r="M325" s="48">
        <f ca="1">IFERROR(__xludf.DUMMYFUNCTION("IMPORTRANGE(""https://docs.google.com/spreadsheets/d/1-uDff_7J0KD5mKrp0Vvzr7lt3OU09vwQwhkpOPPYv2Y/edit?usp=sharing"",""งบพรบ!EN85"")"),0)</f>
        <v>0</v>
      </c>
      <c r="N325" s="48">
        <f ca="1">IFERROR(__xludf.DUMMYFUNCTION("IMPORTRANGE(""https://docs.google.com/spreadsheets/d/1-uDff_7J0KD5mKrp0Vvzr7lt3OU09vwQwhkpOPPYv2Y/edit?usp=sharing"",""งบพรบ!EP85"")"),0)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IFERROR(__xludf.DUMMYFUNCTION("IMPORTRANGE(""https://docs.google.com/spreadsheets/d/1-uDff_7J0KD5mKrp0Vvzr7lt3OU09vwQwhkpOPPYv2Y/edit?usp=sharing"",""งบพรบ!EL85"")"),0)</f>
        <v>0</v>
      </c>
      <c r="M328" s="48">
        <f ca="1">IFERROR(__xludf.DUMMYFUNCTION("IMPORTRANGE(""https://docs.google.com/spreadsheets/d/1-uDff_7J0KD5mKrp0Vvzr7lt3OU09vwQwhkpOPPYv2Y/edit?usp=sharing"",""งบพรบ!EO85"")"),0)</f>
        <v>0</v>
      </c>
      <c r="N328" s="48">
        <f ca="1">IFERROR(__xludf.DUMMYFUNCTION("IMPORTRANGE(""https://docs.google.com/spreadsheets/d/1-uDff_7J0KD5mKrp0Vvzr7lt3OU09vwQwhkpOPPYv2Y/edit?usp=sharing"",""งบพรบ!EQ85"")"),0)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IFERROR(__xludf.DUMMYFUNCTION("IMPORTRANGE(""https://docs.google.com/spreadsheets/d/1eHaY18a8A9IcSdp1K8H6x8fbOy06t2VsZHhMHf-1x7Y/edit?usp=sharing"",""แผน!EJ85"")"),0)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340</v>
      </c>
      <c r="J332" s="352">
        <f ca="1">J344+J347+J348+J349+J353</f>
        <v>720</v>
      </c>
      <c r="K332" s="353">
        <f ca="1">IF(I332&gt;0,J332*100/I332,0)</f>
        <v>211.76470588235293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101000</v>
      </c>
      <c r="M333" s="141">
        <f ca="1">M334+M335</f>
        <v>81350</v>
      </c>
      <c r="N333" s="141">
        <f ca="1">N334+N335</f>
        <v>25440</v>
      </c>
      <c r="O333" s="141">
        <f ca="1">IF(L333&gt;0,N333*100/L333,0)</f>
        <v>25.188118811881189</v>
      </c>
      <c r="P333" s="141">
        <f ca="1">IF(M333&gt;0,N333*100/M333,0)</f>
        <v>31.272280270436386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101000</v>
      </c>
      <c r="M335" s="48">
        <f ca="1">M338+M341</f>
        <v>81350</v>
      </c>
      <c r="N335" s="48">
        <f ca="1">N338+N341</f>
        <v>25440</v>
      </c>
      <c r="O335" s="48">
        <f ca="1">IF(L335&gt;0,N335*100/L335,0)</f>
        <v>25.188118811881189</v>
      </c>
      <c r="P335" s="48">
        <f ca="1">IF(M335&gt;0,N335*100/M335,0)</f>
        <v>31.272280270436386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101000</v>
      </c>
      <c r="M336" s="48">
        <f ca="1">M337+M338</f>
        <v>81350</v>
      </c>
      <c r="N336" s="48">
        <f ca="1">N337+N338</f>
        <v>25440</v>
      </c>
      <c r="O336" s="48">
        <f ca="1">IF(L336&gt;0,N336*100/L336,0)</f>
        <v>25.188118811881189</v>
      </c>
      <c r="P336" s="48">
        <f ca="1">IF(M336&gt;0,N336*100/M336,0)</f>
        <v>31.272280270436386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IFERROR(__xludf.DUMMYFUNCTION("IMPORTRANGE(""https://docs.google.com/spreadsheets/d/1-uDff_7J0KD5mKrp0Vvzr7lt3OU09vwQwhkpOPPYv2Y/edit?usp=sharing"",""งบพรบ!ES85"")"),101000)</f>
        <v>101000</v>
      </c>
      <c r="M338" s="48">
        <f ca="1">IFERROR(__xludf.DUMMYFUNCTION("IMPORTRANGE(""https://docs.google.com/spreadsheets/d/1-uDff_7J0KD5mKrp0Vvzr7lt3OU09vwQwhkpOPPYv2Y/edit?usp=sharing"",""งบพรบ!EX85"")"),81350)</f>
        <v>81350</v>
      </c>
      <c r="N338" s="48">
        <f ca="1">IFERROR(__xludf.DUMMYFUNCTION("IMPORTRANGE(""https://docs.google.com/spreadsheets/d/1-uDff_7J0KD5mKrp0Vvzr7lt3OU09vwQwhkpOPPYv2Y/edit?usp=sharing"",""งบพรบ!EZ85"")"),25440)</f>
        <v>25440</v>
      </c>
      <c r="O338" s="48">
        <f ca="1">IF(L338&gt;0,N338*100/L338,0)</f>
        <v>25.188118811881189</v>
      </c>
      <c r="P338" s="48">
        <f ca="1">IF(M338&gt;0,N338*100/M338,0)</f>
        <v>31.272280270436386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IFERROR(__xludf.DUMMYFUNCTION("IMPORTRANGE(""https://docs.google.com/spreadsheets/d/1-uDff_7J0KD5mKrp0Vvzr7lt3OU09vwQwhkpOPPYv2Y/edit?usp=sharing"",""งบพรบ!EV85"")"),0)</f>
        <v>0</v>
      </c>
      <c r="M341" s="48">
        <f ca="1">IFERROR(__xludf.DUMMYFUNCTION("IMPORTRANGE(""https://docs.google.com/spreadsheets/d/1-uDff_7J0KD5mKrp0Vvzr7lt3OU09vwQwhkpOPPYv2Y/edit?usp=sharing"",""งบพรบ!EY85"")"),0)</f>
        <v>0</v>
      </c>
      <c r="N341" s="48">
        <f ca="1">IFERROR(__xludf.DUMMYFUNCTION("IMPORTRANGE(""https://docs.google.com/spreadsheets/d/1-uDff_7J0KD5mKrp0Vvzr7lt3OU09vwQwhkpOPPYv2Y/edit?usp=sharing"",""งบพรบ!FA85"")"),0)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27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IFERROR(__xludf.DUMMYFUNCTION("IMPORTRANGE(""https://docs.google.com/spreadsheets/d/1eHaY18a8A9IcSdp1K8H6x8fbOy06t2VsZHhMHf-1x7Y/edit?usp=sharing"",""แผน!EK85"")"),340)</f>
        <v>340</v>
      </c>
      <c r="J344" s="170">
        <f ca="1">IFERROR(__xludf.DUMMYFUNCTION("IMPORTRANGE(""https://docs.google.com/spreadsheets/d/1awYsYK3VOup2i3Pq_Yjnu8DRu_mYwSBnCR2QPthd0rU/edit?usp=sharing"",""ศูนย์ยกเว้นโฉนด!D85"")"),27)</f>
        <v>27</v>
      </c>
      <c r="K344" s="48">
        <f ca="1">IF(I344&gt;0,J344*100/I344,0)</f>
        <v>7.9411764705882355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IFERROR(__xludf.DUMMYFUNCTION("IMPORTRANGE(""https://docs.google.com/spreadsheets/d/1eHaY18a8A9IcSdp1K8H6x8fbOy06t2VsZHhMHf-1x7Y/edit?usp=sharing"",""แผน!EL85"")"),2)</f>
        <v>2</v>
      </c>
      <c r="J346" s="170">
        <f ca="1">IFERROR(__xludf.DUMMYFUNCTION("IMPORTRANGE(""https://docs.google.com/spreadsheets/d/1awYsYK3VOup2i3Pq_Yjnu8DRu_mYwSBnCR2QPthd0rU/edit?usp=sharing"",""ศูนย์ยกเว้นโฉนด!E85"")"),0)</f>
        <v>0</v>
      </c>
      <c r="K346" s="48">
        <f ca="1">IF(I346&gt;0,J346*100/I346,0)</f>
        <v>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IFERROR(__xludf.DUMMYFUNCTION("IMPORTRANGE(""https://docs.google.com/spreadsheets/d/1awYsYK3VOup2i3Pq_Yjnu8DRu_mYwSBnCR2QPthd0rU/edit?usp=sharing"",""ศูนย์ยกเว้นโฉนด!F85"")"),0)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IFERROR(__xludf.DUMMYFUNCTION("IMPORTRANGE(""https://docs.google.com/spreadsheets/d/1awYsYK3VOup2i3Pq_Yjnu8DRu_mYwSBnCR2QPthd0rU/edit?usp=sharing"",""ศูนย์ยกเว้นโฉนด!G85"")"),0)</f>
        <v>0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IFERROR(__xludf.DUMMYFUNCTION("IMPORTRANGE(""https://docs.google.com/spreadsheets/d/1awYsYK3VOup2i3Pq_Yjnu8DRu_mYwSBnCR2QPthd0rU/edit?usp=sharing"",""ศูนย์ยกเว้นโฉนด!H85"")"),0)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832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IFERROR(__xludf.DUMMYFUNCTION("IMPORTRANGE(""https://docs.google.com/spreadsheets/d/1awYsYK3VOup2i3Pq_Yjnu8DRu_mYwSBnCR2QPthd0rU/edit?usp=sharing"",""โฉนดM3!G85"")"),139)</f>
        <v>139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IFERROR(__xludf.DUMMYFUNCTION("IMPORTRANGE(""https://docs.google.com/spreadsheets/d/1awYsYK3VOup2i3Pq_Yjnu8DRu_mYwSBnCR2QPthd0rU/edit?usp=sharing"",""โฉนดM3!H85"")"),693)</f>
        <v>693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341160</v>
      </c>
      <c r="M356" s="141">
        <f ca="1">M357+M358</f>
        <v>262560</v>
      </c>
      <c r="N356" s="141">
        <f ca="1">N357+N358</f>
        <v>43656.67</v>
      </c>
      <c r="O356" s="141">
        <f ca="1">IF(L356&gt;0,N356*100/L356,0)</f>
        <v>12.796538281158401</v>
      </c>
      <c r="P356" s="141">
        <f ca="1">IF(M356&gt;0,N356*100/M356,0)</f>
        <v>16.627311852528944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341160</v>
      </c>
      <c r="M358" s="48">
        <f ca="1">M361+M364</f>
        <v>262560</v>
      </c>
      <c r="N358" s="48">
        <f ca="1">N361+N364</f>
        <v>43656.67</v>
      </c>
      <c r="O358" s="48">
        <f ca="1">IF(L358&gt;0,N358*100/L358,0)</f>
        <v>12.796538281158401</v>
      </c>
      <c r="P358" s="48">
        <f ca="1">IF(M358&gt;0,N358*100/M358,0)</f>
        <v>16.627311852528944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341160</v>
      </c>
      <c r="M359" s="48">
        <f ca="1">M360+M361</f>
        <v>262560</v>
      </c>
      <c r="N359" s="48">
        <f ca="1">N360+N361</f>
        <v>43656.67</v>
      </c>
      <c r="O359" s="48">
        <f ca="1">IF(L359&gt;0,N359*100/L359,0)</f>
        <v>12.796538281158401</v>
      </c>
      <c r="P359" s="48">
        <f ca="1">IF(M359&gt;0,N359*100/M359,0)</f>
        <v>16.627311852528944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IFERROR(__xludf.DUMMYFUNCTION("IMPORTRANGE(""https://docs.google.com/spreadsheets/d/1-uDff_7J0KD5mKrp0Vvzr7lt3OU09vwQwhkpOPPYv2Y/edit?usp=sharing"",""งบพรบ!FC85"")"),341160)</f>
        <v>341160</v>
      </c>
      <c r="M361" s="48">
        <f ca="1">IFERROR(__xludf.DUMMYFUNCTION("IMPORTRANGE(""https://docs.google.com/spreadsheets/d/1-uDff_7J0KD5mKrp0Vvzr7lt3OU09vwQwhkpOPPYv2Y/edit?usp=sharing"",""งบพรบ!FH85"")"),262560)</f>
        <v>262560</v>
      </c>
      <c r="N361" s="48">
        <f ca="1">IFERROR(__xludf.DUMMYFUNCTION("IMPORTRANGE(""https://docs.google.com/spreadsheets/d/1-uDff_7J0KD5mKrp0Vvzr7lt3OU09vwQwhkpOPPYv2Y/edit?usp=sharing"",""งบพรบ!FJ85"")"),43656.67)</f>
        <v>43656.67</v>
      </c>
      <c r="O361" s="48">
        <f ca="1">IF(L361&gt;0,N361*100/L361,0)</f>
        <v>12.796538281158401</v>
      </c>
      <c r="P361" s="48">
        <f ca="1">IF(M361&gt;0,N361*100/M361,0)</f>
        <v>16.627311852528944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IFERROR(__xludf.DUMMYFUNCTION("IMPORTRANGE(""https://docs.google.com/spreadsheets/d/1-uDff_7J0KD5mKrp0Vvzr7lt3OU09vwQwhkpOPPYv2Y/edit?usp=sharing"",""งบพรบ!FF85"")"),0)</f>
        <v>0</v>
      </c>
      <c r="M364" s="48">
        <f ca="1">IFERROR(__xludf.DUMMYFUNCTION("IMPORTRANGE(""https://docs.google.com/spreadsheets/d/1-uDff_7J0KD5mKrp0Vvzr7lt3OU09vwQwhkpOPPYv2Y/edit?usp=sharing"",""งบพรบ!FI85"")"),0)</f>
        <v>0</v>
      </c>
      <c r="N364" s="48">
        <f ca="1">IFERROR(__xludf.DUMMYFUNCTION("IMPORTRANGE(""https://docs.google.com/spreadsheets/d/1-uDff_7J0KD5mKrp0Vvzr7lt3OU09vwQwhkpOPPYv2Y/edit?usp=sharing"",""งบพรบ!FK85"")"),0)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34</v>
      </c>
      <c r="J365" s="240">
        <f ca="1">J371</f>
        <v>25</v>
      </c>
      <c r="K365" s="241">
        <f ca="1">IF(I365&gt;0,J365*100/I365,0)</f>
        <v>73.529411764705884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IFERROR(__xludf.DUMMYFUNCTION("IMPORTRANGE(""https://docs.google.com/spreadsheets/d/1tdoBKaGub7dwA3U6UFTqxio9LNnvDCQjHKmttSEBsFQ/edit?usp=sharing"",""จัดที่ดิน!AB85"")"),6)</f>
        <v>6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IFERROR(__xludf.DUMMYFUNCTION("IMPORTRANGE(""https://docs.google.com/spreadsheets/d/1eHaY18a8A9IcSdp1K8H6x8fbOy06t2VsZHhMHf-1x7Y/edit?usp=sharing"",""แผน!EW85"")"),355)</f>
        <v>355</v>
      </c>
      <c r="J368" s="368">
        <f ca="1">IFERROR(__xludf.DUMMYFUNCTION("IMPORTRANGE(""https://docs.google.com/spreadsheets/d/1tdoBKaGub7dwA3U6UFTqxio9LNnvDCQjHKmttSEBsFQ/edit?usp=sharing"",""จัดที่ดิน!AC85"")"),12)</f>
        <v>12</v>
      </c>
      <c r="K368" s="48">
        <f ca="1">IF(I368&gt;0,J368*100/I368,0)</f>
        <v>3.380281690140845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IFERROR(__xludf.DUMMYFUNCTION("IMPORTRANGE(""https://docs.google.com/spreadsheets/d/1eHaY18a8A9IcSdp1K8H6x8fbOy06t2VsZHhMHf-1x7Y/edit?usp=sharing"",""แผน!EX85"")"),53)</f>
        <v>53</v>
      </c>
      <c r="J369" s="170">
        <f ca="1">IFERROR(__xludf.DUMMYFUNCTION("IMPORTRANGE(""https://docs.google.com/spreadsheets/d/1tdoBKaGub7dwA3U6UFTqxio9LNnvDCQjHKmttSEBsFQ/edit?usp=sharing"",""จัดที่ดิน!AD85"")"),25)</f>
        <v>25</v>
      </c>
      <c r="K369" s="48">
        <f ca="1">IF(I369&gt;0,J369*100/I369,0)</f>
        <v>47.169811320754718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IFERROR(__xludf.DUMMYFUNCTION("IMPORTRANGE(""https://docs.google.com/spreadsheets/d/1tdoBKaGub7dwA3U6UFTqxio9LNnvDCQjHKmttSEBsFQ/edit?usp=sharing"",""จัดที่ดิน!AE85"")"),392.69)</f>
        <v>392.69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IFERROR(__xludf.DUMMYFUNCTION("IMPORTRANGE(""https://docs.google.com/spreadsheets/d/1eHaY18a8A9IcSdp1K8H6x8fbOy06t2VsZHhMHf-1x7Y/edit?usp=sharing"",""แผน!EY85"")"),34)</f>
        <v>34</v>
      </c>
      <c r="J371" s="170">
        <f ca="1">IFERROR(__xludf.DUMMYFUNCTION("IMPORTRANGE(""https://docs.google.com/spreadsheets/d/1tdoBKaGub7dwA3U6UFTqxio9LNnvDCQjHKmttSEBsFQ/edit?usp=sharing"",""จัดที่ดิน!AF85"")"),25)</f>
        <v>25</v>
      </c>
      <c r="K371" s="48">
        <f ca="1">IF(I371&gt;0,J371*100/I371,0)</f>
        <v>73.529411764705884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IFERROR(__xludf.DUMMYFUNCTION("IMPORTRANGE(""https://docs.google.com/spreadsheets/d/1tdoBKaGub7dwA3U6UFTqxio9LNnvDCQjHKmttSEBsFQ/edit?usp=sharing"",""จัดที่ดิน!AG85"")"),392.69)</f>
        <v>392.69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IFERROR(__xludf.DUMMYFUNCTION("IMPORTRANGE(""https://docs.google.com/spreadsheets/d/1-uDff_7J0KD5mKrp0Vvzr7lt3OU09vwQwhkpOPPYv2Y/edit?usp=sharing"",""งบพรบ!FM85"")"),0)</f>
        <v>0</v>
      </c>
      <c r="M382" s="51">
        <f ca="1">IFERROR(__xludf.DUMMYFUNCTION("IMPORTRANGE(""https://docs.google.com/spreadsheets/d/1-uDff_7J0KD5mKrp0Vvzr7lt3OU09vwQwhkpOPPYv2Y/edit?usp=sharing"",""งบพรบ!FR85"")"),0)</f>
        <v>0</v>
      </c>
      <c r="N382" s="51">
        <f ca="1">IFERROR(__xludf.DUMMYFUNCTION("IMPORTRANGE(""https://docs.google.com/spreadsheets/d/1-uDff_7J0KD5mKrp0Vvzr7lt3OU09vwQwhkpOPPYv2Y/edit?usp=sharing"",""งบพรบ!FT85"")"),0)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IFERROR(__xludf.DUMMYFUNCTION("IMPORTRANGE(""https://docs.google.com/spreadsheets/d/1-uDff_7J0KD5mKrp0Vvzr7lt3OU09vwQwhkpOPPYv2Y/edit?usp=sharing"",""งบพรบ!FP85"")"),0)</f>
        <v>0</v>
      </c>
      <c r="M385" s="51">
        <f ca="1">IFERROR(__xludf.DUMMYFUNCTION("IMPORTRANGE(""https://docs.google.com/spreadsheets/d/1-uDff_7J0KD5mKrp0Vvzr7lt3OU09vwQwhkpOPPYv2Y/edit?usp=sharing"",""งบพรบ!FS85"")"),0)</f>
        <v>0</v>
      </c>
      <c r="N385" s="51">
        <f ca="1">IFERROR(__xludf.DUMMYFUNCTION("IMPORTRANGE(""https://docs.google.com/spreadsheets/d/1-uDff_7J0KD5mKrp0Vvzr7lt3OU09vwQwhkpOPPYv2Y/edit?usp=sharing"",""งบพรบ!FU85"")"),0)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3" orientation="portrait" r:id="rId1"/>
  <headerFooter>
    <oddFooter>&amp;Cหน้า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1D4E-0E69-40D8-BE8A-475FCE3C54BE}">
  <sheetPr>
    <outlinePr summaryBelow="0" summaryRight="0"/>
  </sheetPr>
  <dimension ref="A1:P391"/>
  <sheetViews>
    <sheetView view="pageBreakPreview" zoomScale="60" zoomScaleNormal="55" workbookViewId="0">
      <pane xSplit="8" ySplit="6" topLeftCell="I1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2.28515625" bestFit="1" customWidth="1"/>
    <col min="11" max="11" width="11" bestFit="1" customWidth="1"/>
    <col min="12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166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1899835</v>
      </c>
      <c r="M18" s="34">
        <f ca="1">M19+M20</f>
        <v>1569435</v>
      </c>
      <c r="N18" s="34">
        <f ca="1">N19+N20</f>
        <v>594867.82000000007</v>
      </c>
      <c r="O18" s="34">
        <f ca="1">IF(L18&gt;0,N18*100/L18,0)</f>
        <v>31.311551792655681</v>
      </c>
      <c r="P18" s="34">
        <f ca="1">IF(M18&gt;0,N18*100/M18,0)</f>
        <v>37.903310427000804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1899835</v>
      </c>
      <c r="M20" s="40">
        <f ca="1">M23+M26</f>
        <v>1569435</v>
      </c>
      <c r="N20" s="40">
        <f ca="1">N23+N26</f>
        <v>594867.82000000007</v>
      </c>
      <c r="O20" s="40">
        <f ca="1">IF(L20&gt;0,N20*100/L20,0)</f>
        <v>31.311551792655681</v>
      </c>
      <c r="P20" s="40">
        <f ca="1">IF(M20&gt;0,N20*100/M20,0)</f>
        <v>37.903310427000804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1899835</v>
      </c>
      <c r="M21" s="48">
        <f ca="1">M22+M23</f>
        <v>1569435</v>
      </c>
      <c r="N21" s="48">
        <f ca="1">N22+N23</f>
        <v>594867.82000000007</v>
      </c>
      <c r="O21" s="48">
        <f ca="1">IF(L21&gt;0,N21*100/L21,0)</f>
        <v>31.311551792655681</v>
      </c>
      <c r="P21" s="48">
        <f ca="1">IF(M21&gt;0,N21*100/M21,0)</f>
        <v>37.903310427000804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1899835</v>
      </c>
      <c r="M23" s="48">
        <f ca="1">M49+M64+M77+M99+M130+M144+M162+M191+M178+M271+M287+M308+M325+M338+M361+M382</f>
        <v>1569435</v>
      </c>
      <c r="N23" s="48">
        <f ca="1">N49+N64+N77+N99+N130+N144+N162+N191+N178+N271+N287+N308+N325+N338+N361+N382</f>
        <v>594867.82000000007</v>
      </c>
      <c r="O23" s="48">
        <f ca="1">IF(L23&gt;0,N23*100/L23,0)</f>
        <v>31.311551792655681</v>
      </c>
      <c r="P23" s="48">
        <f ca="1">IF(M23&gt;0,N23*100/M23,0)</f>
        <v>37.903310427000804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1899835</v>
      </c>
      <c r="M40" s="65">
        <f ca="1">M44+M59+M72+M94+M125+M139+M157+M173+M186+M266+M282+M303+M320+M333+M356</f>
        <v>1569435</v>
      </c>
      <c r="N40" s="65">
        <f ca="1">N44+N59+N72+N94+N125+N139+N157+N173+N186+N266+N282+N303+N320+N333+N356</f>
        <v>594867.82000000007</v>
      </c>
      <c r="O40" s="65">
        <f ca="1">IF(L40&gt;0,N40*100/L40,0)</f>
        <v>31.311551792655681</v>
      </c>
      <c r="P40" s="65">
        <f ca="1">IF(M40&gt;0,N40*100/M40,0)</f>
        <v>37.903310427000804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396500</v>
      </c>
      <c r="M44" s="84">
        <f ca="1">M45+M46</f>
        <v>396500</v>
      </c>
      <c r="N44" s="84">
        <f ca="1">N45+N46</f>
        <v>164900</v>
      </c>
      <c r="O44" s="84">
        <f ca="1">IF(L44&gt;0,N44*100/L44,0)</f>
        <v>41.588902900378308</v>
      </c>
      <c r="P44" s="84">
        <f ca="1">IF(M44&gt;0,N44*100/M44,0)</f>
        <v>41.588902900378308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396500</v>
      </c>
      <c r="M46" s="90">
        <f ca="1">M49+M52</f>
        <v>396500</v>
      </c>
      <c r="N46" s="90">
        <f ca="1">N49+N52</f>
        <v>164900</v>
      </c>
      <c r="O46" s="90">
        <f ca="1">IF(L46&gt;0,N46*100/L46,0)</f>
        <v>41.588902900378308</v>
      </c>
      <c r="P46" s="90">
        <f ca="1">IF(M46&gt;0,N46*100/M46,0)</f>
        <v>41.588902900378308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396500</v>
      </c>
      <c r="M47" s="48">
        <f ca="1">M48+M49</f>
        <v>396500</v>
      </c>
      <c r="N47" s="48">
        <f ca="1">N48+N49</f>
        <v>164900</v>
      </c>
      <c r="O47" s="48">
        <f ca="1">IF(L47&gt;0,N47*100/L47,0)</f>
        <v>41.588902900378308</v>
      </c>
      <c r="P47" s="48">
        <f ca="1">IF(M47&gt;0,N47*100/M47,0)</f>
        <v>41.588902900378308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IFERROR(__xludf.DUMMYFUNCTION("IMPORTRANGE(""https://docs.google.com/spreadsheets/d/1-uDff_7J0KD5mKrp0Vvzr7lt3OU09vwQwhkpOPPYv2Y/edit?usp=sharing"",""งบพรบ!P86"")"),396500)</f>
        <v>396500</v>
      </c>
      <c r="M49" s="48">
        <f ca="1">IFERROR(__xludf.DUMMYFUNCTION("IMPORTRANGE(""https://docs.google.com/spreadsheets/d/1-uDff_7J0KD5mKrp0Vvzr7lt3OU09vwQwhkpOPPYv2Y/edit?usp=sharing"",""งบพรบ!V86"")"),396500)</f>
        <v>396500</v>
      </c>
      <c r="N49" s="48">
        <f ca="1">IFERROR(__xludf.DUMMYFUNCTION("IMPORTRANGE(""https://docs.google.com/spreadsheets/d/1-uDff_7J0KD5mKrp0Vvzr7lt3OU09vwQwhkpOPPYv2Y/edit?usp=sharing"",""งบพรบ!Y86"")"),164900)</f>
        <v>164900</v>
      </c>
      <c r="O49" s="48">
        <f ca="1">IF(L49&gt;0,N49*100/L49,0)</f>
        <v>41.588902900378308</v>
      </c>
      <c r="P49" s="48">
        <f ca="1">IF(M49&gt;0,N49*100/M49,0)</f>
        <v>41.588902900378308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IFERROR(__xludf.DUMMYFUNCTION("IMPORTRANGE(""https://docs.google.com/spreadsheets/d/1-uDff_7J0KD5mKrp0Vvzr7lt3OU09vwQwhkpOPPYv2Y/edit?usp=sharing"",""งบพรบ!S86"")"),0)</f>
        <v>0</v>
      </c>
      <c r="M52" s="48">
        <f ca="1">IFERROR(__xludf.DUMMYFUNCTION("IMPORTRANGE(""https://docs.google.com/spreadsheets/d/1-uDff_7J0KD5mKrp0Vvzr7lt3OU09vwQwhkpOPPYv2Y/edit?usp=sharing"",""งบพรบ!W86"")"),0)</f>
        <v>0</v>
      </c>
      <c r="N52" s="48">
        <f ca="1">IFERROR(__xludf.DUMMYFUNCTION("IMPORTRANGE(""https://docs.google.com/spreadsheets/d/1-uDff_7J0KD5mKrp0Vvzr7lt3OU09vwQwhkpOPPYv2Y/edit?usp=sharing"",""งบพรบ!Z86"")"),0)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459600</v>
      </c>
      <c r="M59" s="113">
        <f ca="1">M60+M61</f>
        <v>346850</v>
      </c>
      <c r="N59" s="113">
        <f ca="1">N60+N61</f>
        <v>230282.23999999999</v>
      </c>
      <c r="O59" s="113">
        <f ca="1">IF(L59&gt;0,N59*100/L59,0)</f>
        <v>50.104926022628369</v>
      </c>
      <c r="P59" s="113">
        <f ca="1">IF(M59&gt;0,N59*100/M59,0)</f>
        <v>66.392457834798904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459600</v>
      </c>
      <c r="M61" s="119">
        <f ca="1">M64+M67</f>
        <v>346850</v>
      </c>
      <c r="N61" s="119">
        <f ca="1">N64+N67</f>
        <v>230282.23999999999</v>
      </c>
      <c r="O61" s="119">
        <f ca="1">IF(L61&gt;0,N61*100/L61,0)</f>
        <v>50.104926022628369</v>
      </c>
      <c r="P61" s="119">
        <f ca="1">IF(M61&gt;0,N61*100/M61,0)</f>
        <v>66.392457834798904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459600</v>
      </c>
      <c r="M62" s="48">
        <f ca="1">M63+M64</f>
        <v>346850</v>
      </c>
      <c r="N62" s="48">
        <f ca="1">N63+N64</f>
        <v>230282.23999999999</v>
      </c>
      <c r="O62" s="48">
        <f ca="1">IF(L62&gt;0,N62*100/L62,0)</f>
        <v>50.104926022628369</v>
      </c>
      <c r="P62" s="48">
        <f ca="1">IF(M62&gt;0,N62*100/M62,0)</f>
        <v>66.392457834798904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IFERROR(__xludf.DUMMYFUNCTION("IMPORTRANGE(""https://docs.google.com/spreadsheets/d/1-uDff_7J0KD5mKrp0Vvzr7lt3OU09vwQwhkpOPPYv2Y/edit?usp=sharing"",""งบพรบ!AC86"")"),459600)</f>
        <v>459600</v>
      </c>
      <c r="M64" s="48">
        <f ca="1">IFERROR(__xludf.DUMMYFUNCTION("IMPORTRANGE(""https://docs.google.com/spreadsheets/d/1-uDff_7J0KD5mKrp0Vvzr7lt3OU09vwQwhkpOPPYv2Y/edit?usp=sharing"",""งบพรบ!AH86"")"),346850)</f>
        <v>346850</v>
      </c>
      <c r="N64" s="48">
        <f ca="1">IFERROR(__xludf.DUMMYFUNCTION("IMPORTRANGE(""https://docs.google.com/spreadsheets/d/1-uDff_7J0KD5mKrp0Vvzr7lt3OU09vwQwhkpOPPYv2Y/edit?usp=sharing"",""งบพรบ!AJ86"")"),230282.24)</f>
        <v>230282.23999999999</v>
      </c>
      <c r="O64" s="48">
        <f ca="1">IF(L64&gt;0,N64*100/L64,0)</f>
        <v>50.104926022628369</v>
      </c>
      <c r="P64" s="48">
        <f ca="1">IF(M64&gt;0,N64*100/M64,0)</f>
        <v>66.392457834798904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IFERROR(__xludf.DUMMYFUNCTION("IMPORTRANGE(""https://docs.google.com/spreadsheets/d/1-uDff_7J0KD5mKrp0Vvzr7lt3OU09vwQwhkpOPPYv2Y/edit?usp=sharing"",""งบพรบ!AF86"")"),0)</f>
        <v>0</v>
      </c>
      <c r="M67" s="59">
        <f ca="1">IFERROR(__xludf.DUMMYFUNCTION("IMPORTRANGE(""https://docs.google.com/spreadsheets/d/1-uDff_7J0KD5mKrp0Vvzr7lt3OU09vwQwhkpOPPYv2Y/edit?usp=sharing"",""งบพรบ!AI86"")"),0)</f>
        <v>0</v>
      </c>
      <c r="N67" s="59">
        <f ca="1">IFERROR(__xludf.DUMMYFUNCTION("IMPORTRANGE(""https://docs.google.com/spreadsheets/d/1-uDff_7J0KD5mKrp0Vvzr7lt3OU09vwQwhkpOPPYv2Y/edit?usp=sharing"",""งบพรบ!AK86"")"),0)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IFERROR(__xludf.DUMMYFUNCTION("IMPORTRANGE(""https://docs.google.com/spreadsheets/d/1-uDff_7J0KD5mKrp0Vvzr7lt3OU09vwQwhkpOPPYv2Y/edit?usp=sharing"",""งบพรบ!AM86"")"),0)</f>
        <v>0</v>
      </c>
      <c r="M77" s="48">
        <f ca="1">IFERROR(__xludf.DUMMYFUNCTION("IMPORTRANGE(""https://docs.google.com/spreadsheets/d/1-uDff_7J0KD5mKrp0Vvzr7lt3OU09vwQwhkpOPPYv2Y/edit?usp=sharing"",""งบพรบ!AR86"")"),0)</f>
        <v>0</v>
      </c>
      <c r="N77" s="48">
        <f ca="1">IFERROR(__xludf.DUMMYFUNCTION("IMPORTRANGE(""https://docs.google.com/spreadsheets/d/1-uDff_7J0KD5mKrp0Vvzr7lt3OU09vwQwhkpOPPYv2Y/edit?usp=sharing"",""งบพรบ!AT86"")"),0)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IFERROR(__xludf.DUMMYFUNCTION("IMPORTRANGE(""https://docs.google.com/spreadsheets/d/1-uDff_7J0KD5mKrp0Vvzr7lt3OU09vwQwhkpOPPYv2Y/edit?usp=sharing"",""งบพรบ!AP86"")"),0)</f>
        <v>0</v>
      </c>
      <c r="M80" s="48">
        <f ca="1">IFERROR(__xludf.DUMMYFUNCTION("IMPORTRANGE(""https://docs.google.com/spreadsheets/d/1-uDff_7J0KD5mKrp0Vvzr7lt3OU09vwQwhkpOPPYv2Y/edit?usp=sharing"",""งบพรบ!AS86"")"),0)</f>
        <v>0</v>
      </c>
      <c r="N80" s="48">
        <f ca="1">IFERROR(__xludf.DUMMYFUNCTION("IMPORTRANGE(""https://docs.google.com/spreadsheets/d/1-uDff_7J0KD5mKrp0Vvzr7lt3OU09vwQwhkpOPPYv2Y/edit?usp=sharing"",""งบพรบ!AU86"")"),0)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IFERROR(__xludf.DUMMYFUNCTION("IMPORTRANGE(""https://docs.google.com/spreadsheets/d/1eHaY18a8A9IcSdp1K8H6x8fbOy06t2VsZHhMHf-1x7Y/edit?usp=sharing"",""แผน!H86"")"),0)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IFERROR(__xludf.DUMMYFUNCTION("IMPORTRANGE(""https://docs.google.com/spreadsheets/d/1eHaY18a8A9IcSdp1K8H6x8fbOy06t2VsZHhMHf-1x7Y/edit?usp=sharing"",""แผน!I86"")"),0)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IFERROR(__xludf.DUMMYFUNCTION("IMPORTRANGE(""https://docs.google.com/spreadsheets/d/1eHaY18a8A9IcSdp1K8H6x8fbOy06t2VsZHhMHf-1x7Y/edit?usp=sharing"",""แผน!F86"")"),0)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IFERROR(__xludf.DUMMYFUNCTION("IMPORTRANGE(""https://docs.google.com/spreadsheets/d/1eHaY18a8A9IcSdp1K8H6x8fbOy06t2VsZHhMHf-1x7Y/edit?usp=sharing"",""แผน!G86"")"),0)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IFERROR(__xludf.DUMMYFUNCTION("IMPORTRANGE(""https://docs.google.com/spreadsheets/d/1eHaY18a8A9IcSdp1K8H6x8fbOy06t2VsZHhMHf-1x7Y/edit?usp=sharing"",""แผน!D86"")"),0)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IFERROR(__xludf.DUMMYFUNCTION("IMPORTRANGE(""https://docs.google.com/spreadsheets/d/1eHaY18a8A9IcSdp1K8H6x8fbOy06t2VsZHhMHf-1x7Y/edit?usp=sharing"",""แผน!E86"")"),0)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IFERROR(__xludf.DUMMYFUNCTION("IMPORTRANGE(""https://docs.google.com/spreadsheets/d/1eHaY18a8A9IcSdp1K8H6x8fbOy06t2VsZHhMHf-1x7Y/edit?usp=sharing"",""แผน!J86"")"),0)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IFERROR(__xludf.DUMMYFUNCTION("IMPORTRANGE(""https://docs.google.com/spreadsheets/d/1-uDff_7J0KD5mKrp0Vvzr7lt3OU09vwQwhkpOPPYv2Y/edit?usp=sharing"",""งบพรบ!AW86"")"),0)</f>
        <v>0</v>
      </c>
      <c r="M99" s="48">
        <f ca="1">IFERROR(__xludf.DUMMYFUNCTION("IMPORTRANGE(""https://docs.google.com/spreadsheets/d/1-uDff_7J0KD5mKrp0Vvzr7lt3OU09vwQwhkpOPPYv2Y/edit?usp=sharing"",""งบพรบ!BB86"")"),0)</f>
        <v>0</v>
      </c>
      <c r="N99" s="48">
        <f ca="1">IFERROR(__xludf.DUMMYFUNCTION("IMPORTRANGE(""https://docs.google.com/spreadsheets/d/1-uDff_7J0KD5mKrp0Vvzr7lt3OU09vwQwhkpOPPYv2Y/edit?usp=sharing"",""งบพรบ!BD86"")"),0)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IFERROR(__xludf.DUMMYFUNCTION("IMPORTRANGE(""https://docs.google.com/spreadsheets/d/1-uDff_7J0KD5mKrp0Vvzr7lt3OU09vwQwhkpOPPYv2Y/edit?usp=sharing"",""งบพรบ!AZ86"")"),0)</f>
        <v>0</v>
      </c>
      <c r="M102" s="48">
        <f ca="1">IFERROR(__xludf.DUMMYFUNCTION("IMPORTRANGE(""https://docs.google.com/spreadsheets/d/1-uDff_7J0KD5mKrp0Vvzr7lt3OU09vwQwhkpOPPYv2Y/edit?usp=sharing"",""งบพรบ!BC86"")"),0)</f>
        <v>0</v>
      </c>
      <c r="N102" s="48">
        <f ca="1">IFERROR(__xludf.DUMMYFUNCTION("IMPORTRANGE(""https://docs.google.com/spreadsheets/d/1-uDff_7J0KD5mKrp0Vvzr7lt3OU09vwQwhkpOPPYv2Y/edit?usp=sharing"",""งบพรบ!BE86"")"),0)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IFERROR(__xludf.DUMMYFUNCTION("IMPORTRANGE(""https://docs.google.com/spreadsheets/d/1eHaY18a8A9IcSdp1K8H6x8fbOy06t2VsZHhMHf-1x7Y/edit?usp=sharing"",""แผน!N86"")"),0)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IFERROR(__xludf.DUMMYFUNCTION("IMPORTRANGE(""https://docs.google.com/spreadsheets/d/1eHaY18a8A9IcSdp1K8H6x8fbOy06t2VsZHhMHf-1x7Y/edit?usp=sharing"",""แผน!O86"")"),0)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IFERROR(__xludf.DUMMYFUNCTION("IMPORTRANGE(""https://docs.google.com/spreadsheets/d/1eHaY18a8A9IcSdp1K8H6x8fbOy06t2VsZHhMHf-1x7Y/edit?usp=sharing"",""แผน!R86"")"),0)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IFERROR(__xludf.DUMMYFUNCTION("IMPORTRANGE(""https://docs.google.com/spreadsheets/d/1-uDff_7J0KD5mKrp0Vvzr7lt3OU09vwQwhkpOPPYv2Y/edit?usp=sharing"",""งบพรบ!BG86"")"),0)</f>
        <v>0</v>
      </c>
      <c r="M130" s="178">
        <f ca="1">IFERROR(__xludf.DUMMYFUNCTION("IMPORTRANGE(""https://docs.google.com/spreadsheets/d/1-uDff_7J0KD5mKrp0Vvzr7lt3OU09vwQwhkpOPPYv2Y/edit?usp=sharing"",""งบพรบ!BL86"")"),0)</f>
        <v>0</v>
      </c>
      <c r="N130" s="178">
        <f ca="1">IFERROR(__xludf.DUMMYFUNCTION("IMPORTRANGE(""https://docs.google.com/spreadsheets/d/1-uDff_7J0KD5mKrp0Vvzr7lt3OU09vwQwhkpOPPYv2Y/edit?usp=sharing"",""งบพรบ!BN86"")"),0)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IFERROR(__xludf.DUMMYFUNCTION("IMPORTRANGE(""https://docs.google.com/spreadsheets/d/1-uDff_7J0KD5mKrp0Vvzr7lt3OU09vwQwhkpOPPYv2Y/edit?usp=sharing"",""งบพรบ!BJ86"")"),0)</f>
        <v>0</v>
      </c>
      <c r="M133" s="178">
        <f ca="1">IFERROR(__xludf.DUMMYFUNCTION("IMPORTRANGE(""https://docs.google.com/spreadsheets/d/1-uDff_7J0KD5mKrp0Vvzr7lt3OU09vwQwhkpOPPYv2Y/edit?usp=sharing"",""งบพรบ!BM86"")"),0)</f>
        <v>0</v>
      </c>
      <c r="N133" s="178">
        <f ca="1">IFERROR(__xludf.DUMMYFUNCTION("IMPORTRANGE(""https://docs.google.com/spreadsheets/d/1-uDff_7J0KD5mKrp0Vvzr7lt3OU09vwQwhkpOPPYv2Y/edit?usp=sharing"",""งบพรบ!BO86"")"),0)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10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1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23300</v>
      </c>
      <c r="M139" s="141">
        <f ca="1">M140+M141</f>
        <v>18300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23300</v>
      </c>
      <c r="M141" s="48">
        <f ca="1">M144+M147</f>
        <v>18300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23300</v>
      </c>
      <c r="M142" s="48">
        <f ca="1">M143+M144</f>
        <v>18300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IFERROR(__xludf.DUMMYFUNCTION("IMPORTRANGE(""https://docs.google.com/spreadsheets/d/1-uDff_7J0KD5mKrp0Vvzr7lt3OU09vwQwhkpOPPYv2Y/edit?usp=sharing"",""งบพรบ!BQ86"")"),23300)</f>
        <v>23300</v>
      </c>
      <c r="M144" s="48">
        <f ca="1">IFERROR(__xludf.DUMMYFUNCTION("IMPORTRANGE(""https://docs.google.com/spreadsheets/d/1-uDff_7J0KD5mKrp0Vvzr7lt3OU09vwQwhkpOPPYv2Y/edit?usp=sharing"",""งบพรบ!BV86"")"),18300)</f>
        <v>18300</v>
      </c>
      <c r="N144" s="48">
        <f ca="1">IFERROR(__xludf.DUMMYFUNCTION("IMPORTRANGE(""https://docs.google.com/spreadsheets/d/1-uDff_7J0KD5mKrp0Vvzr7lt3OU09vwQwhkpOPPYv2Y/edit?usp=sharing"",""งบพรบ!BX86"")"),0)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IFERROR(__xludf.DUMMYFUNCTION("IMPORTRANGE(""https://docs.google.com/spreadsheets/d/1-uDff_7J0KD5mKrp0Vvzr7lt3OU09vwQwhkpOPPYv2Y/edit?usp=sharing"",""งบพรบ!BT86"")"),0)</f>
        <v>0</v>
      </c>
      <c r="M147" s="48">
        <f ca="1">IFERROR(__xludf.DUMMYFUNCTION("IMPORTRANGE(""https://docs.google.com/spreadsheets/d/1-uDff_7J0KD5mKrp0Vvzr7lt3OU09vwQwhkpOPPYv2Y/edit?usp=sharing"",""งบพรบ!BW86"")"),0)</f>
        <v>0</v>
      </c>
      <c r="N147" s="48">
        <f ca="1">IFERROR(__xludf.DUMMYFUNCTION("IMPORTRANGE(""https://docs.google.com/spreadsheets/d/1-uDff_7J0KD5mKrp0Vvzr7lt3OU09vwQwhkpOPPYv2Y/edit?usp=sharing"",""งบพรบ!BY86"")"),0)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IFERROR(__xludf.DUMMYFUNCTION("IMPORTRANGE(""https://docs.google.com/spreadsheets/d/1eHaY18a8A9IcSdp1K8H6x8fbOy06t2VsZHhMHf-1x7Y/edit?usp=sharing"",""แผน!U86"")"),0)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IFERROR(__xludf.DUMMYFUNCTION("IMPORTRANGE(""https://docs.google.com/spreadsheets/d/1eHaY18a8A9IcSdp1K8H6x8fbOy06t2VsZHhMHf-1x7Y/edit?usp=sharing"",""แผน!V86"")"),0)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IFERROR(__xludf.DUMMYFUNCTION("IMPORTRANGE(""https://docs.google.com/spreadsheets/d/1eHaY18a8A9IcSdp1K8H6x8fbOy06t2VsZHhMHf-1x7Y/edit?usp=sharing"",""แผน!W86"")"),10)</f>
        <v>10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IFERROR(__xludf.DUMMYFUNCTION("IMPORTRANGE(""https://docs.google.com/spreadsheets/d/1eHaY18a8A9IcSdp1K8H6x8fbOy06t2VsZHhMHf-1x7Y/edit?usp=sharing"",""แผน!X86"")"),1)</f>
        <v>1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IFERROR(__xludf.DUMMYFUNCTION("IMPORTRANGE(""https://docs.google.com/spreadsheets/d/1eHaY18a8A9IcSdp1K8H6x8fbOy06t2VsZHhMHf-1x7Y/edit?usp=sharing"",""แผน!Y86"")"),0)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IFERROR(__xludf.DUMMYFUNCTION("IMPORTRANGE(""https://docs.google.com/spreadsheets/d/1-uDff_7J0KD5mKrp0Vvzr7lt3OU09vwQwhkpOPPYv2Y/edit?usp=sharing"",""งบพรบ!CA86"")"),0)</f>
        <v>0</v>
      </c>
      <c r="M162" s="48">
        <f ca="1">IFERROR(__xludf.DUMMYFUNCTION("IMPORTRANGE(""https://docs.google.com/spreadsheets/d/1-uDff_7J0KD5mKrp0Vvzr7lt3OU09vwQwhkpOPPYv2Y/edit?usp=sharing"",""งบพรบ!CF86"")"),0)</f>
        <v>0</v>
      </c>
      <c r="N162" s="48">
        <f ca="1">IFERROR(__xludf.DUMMYFUNCTION("IMPORTRANGE(""https://docs.google.com/spreadsheets/d/1-uDff_7J0KD5mKrp0Vvzr7lt3OU09vwQwhkpOPPYv2Y/edit?usp=sharing"",""งบพรบ!CH86"")"),0)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IFERROR(__xludf.DUMMYFUNCTION("IMPORTRANGE(""https://docs.google.com/spreadsheets/d/1-uDff_7J0KD5mKrp0Vvzr7lt3OU09vwQwhkpOPPYv2Y/edit?usp=sharing"",""งบพรบ!CD86"")"),0)</f>
        <v>0</v>
      </c>
      <c r="M165" s="48">
        <f ca="1">IFERROR(__xludf.DUMMYFUNCTION("IMPORTRANGE(""https://docs.google.com/spreadsheets/d/1-uDff_7J0KD5mKrp0Vvzr7lt3OU09vwQwhkpOPPYv2Y/edit?usp=sharing"",""งบพรบ!CG86"")"),0)</f>
        <v>0</v>
      </c>
      <c r="N165" s="48">
        <f ca="1">IFERROR(__xludf.DUMMYFUNCTION("IMPORTRANGE(""https://docs.google.com/spreadsheets/d/1-uDff_7J0KD5mKrp0Vvzr7lt3OU09vwQwhkpOPPYv2Y/edit?usp=sharing"",""งบพรบ!CI86"")"),0)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IFERROR(__xludf.DUMMYFUNCTION("IMPORTRANGE(""https://docs.google.com/spreadsheets/d/1eHaY18a8A9IcSdp1K8H6x8fbOy06t2VsZHhMHf-1x7Y/edit?usp=sharing"",""แผน!Z86"")"),0)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IFERROR(__xludf.DUMMYFUNCTION("IMPORTRANGE(""https://docs.google.com/spreadsheets/d/1eHaY18a8A9IcSdp1K8H6x8fbOy06t2VsZHhMHf-1x7Y/edit?usp=sharing"",""แผน!Z86"")"),0)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IFERROR(__xludf.DUMMYFUNCTION("IMPORTRANGE(""https://docs.google.com/spreadsheets/d/1eHaY18a8A9IcSdp1K8H6x8fbOy06t2VsZHhMHf-1x7Y/edit?usp=sharing"",""แผน!Z86"")"),0)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0</v>
      </c>
      <c r="O173" s="141">
        <f ca="1">IF(L173&gt;0,N173*100/L173,0)</f>
        <v>0</v>
      </c>
      <c r="P173" s="141">
        <f ca="1">IF(M173&gt;0,N173*100/M173,0)</f>
        <v>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0</v>
      </c>
      <c r="O175" s="48">
        <f ca="1">IF(L175&gt;0,N175*100/L175,0)</f>
        <v>0</v>
      </c>
      <c r="P175" s="48">
        <f ca="1">IF(M175&gt;0,N175*100/M175,0)</f>
        <v>0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0</v>
      </c>
      <c r="O176" s="48">
        <f ca="1">IF(L176&gt;0,N176*100/L176,0)</f>
        <v>0</v>
      </c>
      <c r="P176" s="48">
        <f ca="1">IF(M176&gt;0,N176*100/M176,0)</f>
        <v>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IFERROR(__xludf.DUMMYFUNCTION("IMPORTRANGE(""https://docs.google.com/spreadsheets/d/1-uDff_7J0KD5mKrp0Vvzr7lt3OU09vwQwhkpOPPYv2Y/edit?usp=sharing"",""งบพรบ!CK86"")"),19590)</f>
        <v>19590</v>
      </c>
      <c r="M178" s="48">
        <f ca="1">IFERROR(__xludf.DUMMYFUNCTION("IMPORTRANGE(""https://docs.google.com/spreadsheets/d/1-uDff_7J0KD5mKrp0Vvzr7lt3OU09vwQwhkpOPPYv2Y/edit?usp=sharing"",""งบพรบ!CP86"")"),19590)</f>
        <v>19590</v>
      </c>
      <c r="N178" s="48">
        <f ca="1">IFERROR(__xludf.DUMMYFUNCTION("IMPORTRANGE(""https://docs.google.com/spreadsheets/d/1-uDff_7J0KD5mKrp0Vvzr7lt3OU09vwQwhkpOPPYv2Y/edit?usp=sharing"",""งบพรบ!CR86"")"),0)</f>
        <v>0</v>
      </c>
      <c r="O178" s="48">
        <f ca="1">IF(L178&gt;0,N178*100/L178,0)</f>
        <v>0</v>
      </c>
      <c r="P178" s="48">
        <f ca="1">IF(M178&gt;0,N178*100/M178,0)</f>
        <v>0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IFERROR(__xludf.DUMMYFUNCTION("IMPORTRANGE(""https://docs.google.com/spreadsheets/d/1-uDff_7J0KD5mKrp0Vvzr7lt3OU09vwQwhkpOPPYv2Y/edit?usp=sharing"",""งบพรบ!CN86"")"),0)</f>
        <v>0</v>
      </c>
      <c r="M181" s="48">
        <f ca="1">IFERROR(__xludf.DUMMYFUNCTION("IMPORTRANGE(""https://docs.google.com/spreadsheets/d/1-uDff_7J0KD5mKrp0Vvzr7lt3OU09vwQwhkpOPPYv2Y/edit?usp=sharing"",""งบพรบ!CQ86"")"),0)</f>
        <v>0</v>
      </c>
      <c r="N181" s="48">
        <f ca="1">IFERROR(__xludf.DUMMYFUNCTION("IMPORTRANGE(""https://docs.google.com/spreadsheets/d/1-uDff_7J0KD5mKrp0Vvzr7lt3OU09vwQwhkpOPPYv2Y/edit?usp=sharing"",""งบพรบ!CS86"")"),0)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IFERROR(__xludf.DUMMYFUNCTION("IMPORTRANGE(""https://docs.google.com/spreadsheets/d/1eHaY18a8A9IcSdp1K8H6x8fbOy06t2VsZHhMHf-1x7Y/edit?usp=sharing"",""แผน!AA86"")"),7)</f>
        <v>7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267600</v>
      </c>
      <c r="M186" s="141">
        <f ca="1">M187+M188</f>
        <v>185000</v>
      </c>
      <c r="N186" s="141">
        <f ca="1">N187+N188</f>
        <v>28019.58</v>
      </c>
      <c r="O186" s="141">
        <f ca="1">IF(L186&gt;0,N186*100/L186,0)</f>
        <v>10.470695067264574</v>
      </c>
      <c r="P186" s="141">
        <f ca="1">IF(M186&gt;0,N186*100/M186,0)</f>
        <v>15.145718918918918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267600</v>
      </c>
      <c r="M188" s="48">
        <f ca="1">M191+M194</f>
        <v>185000</v>
      </c>
      <c r="N188" s="48">
        <f ca="1">N191+N194</f>
        <v>28019.58</v>
      </c>
      <c r="O188" s="48">
        <f ca="1">IF(L188&gt;0,N188*100/L188,0)</f>
        <v>10.470695067264574</v>
      </c>
      <c r="P188" s="48">
        <f ca="1">IF(M188&gt;0,N188*100/M188,0)</f>
        <v>15.145718918918918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267600</v>
      </c>
      <c r="M189" s="48">
        <f ca="1">M190+M191</f>
        <v>185000</v>
      </c>
      <c r="N189" s="48">
        <f ca="1">N190+N191</f>
        <v>28019.58</v>
      </c>
      <c r="O189" s="48">
        <f ca="1">IF(L189&gt;0,N189*100/L189,0)</f>
        <v>10.470695067264574</v>
      </c>
      <c r="P189" s="48">
        <f ca="1">IF(M189&gt;0,N189*100/M189,0)</f>
        <v>15.145718918918918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IFERROR(__xludf.DUMMYFUNCTION("IMPORTRANGE(""https://docs.google.com/spreadsheets/d/1-uDff_7J0KD5mKrp0Vvzr7lt3OU09vwQwhkpOPPYv2Y/edit?usp=sharing"",""งบพรบ!CU86"")"),267600)</f>
        <v>267600</v>
      </c>
      <c r="M191" s="48">
        <f ca="1">IFERROR(__xludf.DUMMYFUNCTION("IMPORTRANGE(""https://docs.google.com/spreadsheets/d/1-uDff_7J0KD5mKrp0Vvzr7lt3OU09vwQwhkpOPPYv2Y/edit?usp=sharing"",""งบพรบ!CZ86"")"),185000)</f>
        <v>185000</v>
      </c>
      <c r="N191" s="48">
        <f ca="1">IFERROR(__xludf.DUMMYFUNCTION("IMPORTRANGE(""https://docs.google.com/spreadsheets/d/1-uDff_7J0KD5mKrp0Vvzr7lt3OU09vwQwhkpOPPYv2Y/edit?usp=sharing"",""งบพรบ!DB86"")"),28019.58)</f>
        <v>28019.58</v>
      </c>
      <c r="O191" s="48">
        <f ca="1">IF(L191&gt;0,N191*100/L191,0)</f>
        <v>10.470695067264574</v>
      </c>
      <c r="P191" s="48">
        <f ca="1">IF(M191&gt;0,N191*100/M191,0)</f>
        <v>15.145718918918918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IFERROR(__xludf.DUMMYFUNCTION("IMPORTRANGE(""https://docs.google.com/spreadsheets/d/1-uDff_7J0KD5mKrp0Vvzr7lt3OU09vwQwhkpOPPYv2Y/edit?usp=sharing"",""งบพรบ!CX86"")"),0)</f>
        <v>0</v>
      </c>
      <c r="M194" s="48">
        <f ca="1">IFERROR(__xludf.DUMMYFUNCTION("IMPORTRANGE(""https://docs.google.com/spreadsheets/d/1-uDff_7J0KD5mKrp0Vvzr7lt3OU09vwQwhkpOPPYv2Y/edit?usp=sharing"",""งบพรบ!DA86"")"),0)</f>
        <v>0</v>
      </c>
      <c r="N194" s="48">
        <f ca="1">IFERROR(__xludf.DUMMYFUNCTION("IMPORTRANGE(""https://docs.google.com/spreadsheets/d/1-uDff_7J0KD5mKrp0Vvzr7lt3OU09vwQwhkpOPPYv2Y/edit?usp=sharing"",""งบพรบ!DC86"")"),0)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IFERROR(__xludf.DUMMYFUNCTION("IMPORTRANGE(""https://docs.google.com/spreadsheets/d/1eHaY18a8A9IcSdp1K8H6x8fbOy06t2VsZHhMHf-1x7Y/edit?usp=sharing"",""แผน!AB86"")"),6000)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IFERROR(__xludf.DUMMYFUNCTION("IMPORTRANGE(""https://docs.google.com/spreadsheets/d/1eHaY18a8A9IcSdp1K8H6x8fbOy06t2VsZHhMHf-1x7Y/edit?usp=sharing"",""แผน!AE86"")"),4)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5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65000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89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IFERROR(__xludf.DUMMYFUNCTION("IMPORTRANGE(""https://docs.google.com/spreadsheets/d/1eHaY18a8A9IcSdp1K8H6x8fbOy06t2VsZHhMHf-1x7Y/edit?usp=sharing"",""แผน!AG86"")"),5000)</f>
        <v>5000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IFERROR(__xludf.DUMMYFUNCTION("IMPORTRANGE(""https://docs.google.com/spreadsheets/d/1eHaY18a8A9IcSdp1K8H6x8fbOy06t2VsZHhMHf-1x7Y/edit?usp=sharing"",""แผน!AH86"")"),0)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IFERROR(__xludf.DUMMYFUNCTION("IMPORTRANGE(""https://docs.google.com/spreadsheets/d/1eHaY18a8A9IcSdp1K8H6x8fbOy06t2VsZHhMHf-1x7Y/edit?usp=sharing"",""แผน!AI86"")"),40000)</f>
        <v>40000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IFERROR(__xludf.DUMMYFUNCTION("IMPORTRANGE(""https://docs.google.com/spreadsheets/d/1eHaY18a8A9IcSdp1K8H6x8fbOy06t2VsZHhMHf-1x7Y/edit?usp=sharing"",""แผน!AJ86"")"),20000)</f>
        <v>20000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IFERROR(__xludf.DUMMYFUNCTION("IMPORTRANGE(""https://docs.google.com/spreadsheets/d/1eHaY18a8A9IcSdp1K8H6x8fbOy06t2VsZHhMHf-1x7Y/edit?usp=sharing"",""แผน!AK86"")"),5)</f>
        <v>5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IFERROR(__xludf.DUMMYFUNCTION("IMPORTRANGE(""https://docs.google.com/spreadsheets/d/1eHaY18a8A9IcSdp1K8H6x8fbOy06t2VsZHhMHf-1x7Y/edit?usp=sharing"",""แผน!AK86"")"),5)</f>
        <v>5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IFERROR(__xludf.DUMMYFUNCTION("IMPORTRANGE(""https://docs.google.com/spreadsheets/d/1eHaY18a8A9IcSdp1K8H6x8fbOy06t2VsZHhMHf-1x7Y/edit?usp=sharing"",""แผน!AK86"")"),5)</f>
        <v>5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2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28000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IFERROR(__xludf.DUMMYFUNCTION("IMPORTRANGE(""https://docs.google.com/spreadsheets/d/1eHaY18a8A9IcSdp1K8H6x8fbOy06t2VsZHhMHf-1x7Y/edit?usp=sharing"",""แผน!AM86"")"),2000)</f>
        <v>2000</v>
      </c>
      <c r="M215" s="47"/>
      <c r="N215" s="249">
        <v>0</v>
      </c>
      <c r="O215" s="146"/>
      <c r="P215" s="47"/>
    </row>
    <row r="216" spans="1:16" ht="18.75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IFERROR(__xludf.DUMMYFUNCTION("IMPORTRANGE(""https://docs.google.com/spreadsheets/d/1eHaY18a8A9IcSdp1K8H6x8fbOy06t2VsZHhMHf-1x7Y/edit?usp=sharing"",""แผน!AN86"")"),10000)</f>
        <v>10000</v>
      </c>
      <c r="M216" s="47"/>
      <c r="N216" s="249">
        <v>0</v>
      </c>
      <c r="O216" s="146"/>
      <c r="P216" s="47"/>
    </row>
    <row r="217" spans="1:16" ht="18.75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IFERROR(__xludf.DUMMYFUNCTION("IMPORTRANGE(""https://docs.google.com/spreadsheets/d/1eHaY18a8A9IcSdp1K8H6x8fbOy06t2VsZHhMHf-1x7Y/edit?usp=sharing"",""แผน!AO86"")"),16000)</f>
        <v>16000</v>
      </c>
      <c r="M217" s="47"/>
      <c r="N217" s="249">
        <v>0</v>
      </c>
      <c r="O217" s="146"/>
      <c r="P217" s="47"/>
    </row>
    <row r="218" spans="1:16" ht="19.5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IFERROR(__xludf.DUMMYFUNCTION("IMPORTRANGE(""https://docs.google.com/spreadsheets/d/1eHaY18a8A9IcSdp1K8H6x8fbOy06t2VsZHhMHf-1x7Y/edit?usp=sharing"",""แผน!AP86"")"),2)</f>
        <v>2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IFERROR(__xludf.DUMMYFUNCTION("IMPORTRANGE(""https://docs.google.com/spreadsheets/d/1eHaY18a8A9IcSdp1K8H6x8fbOy06t2VsZHhMHf-1x7Y/edit?usp=sharing"",""แผน!AP86"")"),2)</f>
        <v>2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15000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IFERROR(__xludf.DUMMYFUNCTION("IMPORTRANGE(""https://docs.google.com/spreadsheets/d/1eHaY18a8A9IcSdp1K8H6x8fbOy06t2VsZHhMHf-1x7Y/edit?usp=sharing"",""แผน!AR86"")"),3000)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IFERROR(__xludf.DUMMYFUNCTION("IMPORTRANGE(""https://docs.google.com/spreadsheets/d/1eHaY18a8A9IcSdp1K8H6x8fbOy06t2VsZHhMHf-1x7Y/edit?usp=sharing"",""แผน!AS86"")"),1500)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IFERROR(__xludf.DUMMYFUNCTION("IMPORTRANGE(""https://docs.google.com/spreadsheets/d/1eHaY18a8A9IcSdp1K8H6x8fbOy06t2VsZHhMHf-1x7Y/edit?usp=sharing"",""แผน!AT86"")"),0)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IFERROR(__xludf.DUMMYFUNCTION("IMPORTRANGE(""https://docs.google.com/spreadsheets/d/1eHaY18a8A9IcSdp1K8H6x8fbOy06t2VsZHhMHf-1x7Y/edit?usp=sharing"",""แผน!AV86"")"),15000)</f>
        <v>15000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IFERROR(__xludf.DUMMYFUNCTION("IMPORTRANGE(""https://docs.google.com/spreadsheets/d/1eHaY18a8A9IcSdp1K8H6x8fbOy06t2VsZHhMHf-1x7Y/edit?usp=sharing"",""แผน!AV86"")"),15000)</f>
        <v>15000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IFERROR(__xludf.DUMMYFUNCTION("IMPORTRANGE(""https://docs.google.com/spreadsheets/d/1eHaY18a8A9IcSdp1K8H6x8fbOy06t2VsZHhMHf-1x7Y/edit?usp=sharing"",""แผน!AU86"")"),0)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IFERROR(__xludf.DUMMYFUNCTION("IMPORTRANGE(""https://docs.google.com/spreadsheets/d/1eHaY18a8A9IcSdp1K8H6x8fbOy06t2VsZHhMHf-1x7Y/edit?usp=sharing"",""แผน!AX86"")"),0)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IFERROR(__xludf.DUMMYFUNCTION("IMPORTRANGE(""https://docs.google.com/spreadsheets/d/1eHaY18a8A9IcSdp1K8H6x8fbOy06t2VsZHhMHf-1x7Y/edit?usp=sharing"",""แผน!AY86"")"),0)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IFERROR(__xludf.DUMMYFUNCTION("IMPORTRANGE(""https://docs.google.com/spreadsheets/d/1eHaY18a8A9IcSdp1K8H6x8fbOy06t2VsZHhMHf-1x7Y/edit?usp=sharing"",""แผน!AZ86"")"),0)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IFERROR(__xludf.DUMMYFUNCTION("IMPORTRANGE(""https://docs.google.com/spreadsheets/d/1eHaY18a8A9IcSdp1K8H6x8fbOy06t2VsZHhMHf-1x7Y/edit?usp=sharing"",""แผน!BA86"")"),0)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IFERROR(__xludf.DUMMYFUNCTION("IMPORTRANGE(""https://docs.google.com/spreadsheets/d/1eHaY18a8A9IcSdp1K8H6x8fbOy06t2VsZHhMHf-1x7Y/edit?usp=sharing"",""แผน!BG86"")"),0)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IFERROR(__xludf.DUMMYFUNCTION("IMPORTRANGE(""https://docs.google.com/spreadsheets/d/1eHaY18a8A9IcSdp1K8H6x8fbOy06t2VsZHhMHf-1x7Y/edit?usp=sharing"",""แผน!BB86"")"),0)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IFERROR(__xludf.DUMMYFUNCTION("IMPORTRANGE(""https://docs.google.com/spreadsheets/d/1eHaY18a8A9IcSdp1K8H6x8fbOy06t2VsZHhMHf-1x7Y/edit?usp=sharing"",""แผน!BC86"")"),0)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IFERROR(__xludf.DUMMYFUNCTION("IMPORTRANGE(""https://docs.google.com/spreadsheets/d/1eHaY18a8A9IcSdp1K8H6x8fbOy06t2VsZHhMHf-1x7Y/edit?usp=sharing"",""แผน!BD86"")"),0)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IFERROR(__xludf.DUMMYFUNCTION("IMPORTRANGE(""https://docs.google.com/spreadsheets/d/1eHaY18a8A9IcSdp1K8H6x8fbOy06t2VsZHhMHf-1x7Y/edit?usp=sharing"",""แผน!BE86"")"),0)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IFERROR(__xludf.DUMMYFUNCTION("IMPORTRANGE(""https://docs.google.com/spreadsheets/d/1eHaY18a8A9IcSdp1K8H6x8fbOy06t2VsZHhMHf-1x7Y/edit?usp=sharing"",""แผน!BH86"")"),0)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IFERROR(__xludf.DUMMYFUNCTION("IMPORTRANGE(""https://docs.google.com/spreadsheets/d/1-uDff_7J0KD5mKrp0Vvzr7lt3OU09vwQwhkpOPPYv2Y/edit?usp=sharing"",""งบพรบ!DE86"")"),0)</f>
        <v>0</v>
      </c>
      <c r="M271" s="51">
        <f ca="1">IFERROR(__xludf.DUMMYFUNCTION("IMPORTRANGE(""https://docs.google.com/spreadsheets/d/1-uDff_7J0KD5mKrp0Vvzr7lt3OU09vwQwhkpOPPYv2Y/edit?usp=sharing"",""งบพรบ!DJ86"")"),0)</f>
        <v>0</v>
      </c>
      <c r="N271" s="51">
        <f ca="1">IFERROR(__xludf.DUMMYFUNCTION("IMPORTRANGE(""https://docs.google.com/spreadsheets/d/1-uDff_7J0KD5mKrp0Vvzr7lt3OU09vwQwhkpOPPYv2Y/edit?usp=sharing"",""งบพรบ!DL86"")"),0)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IFERROR(__xludf.DUMMYFUNCTION("IMPORTRANGE(""https://docs.google.com/spreadsheets/d/1-uDff_7J0KD5mKrp0Vvzr7lt3OU09vwQwhkpOPPYv2Y/edit?usp=sharing"",""งบพรบ!DH86"")"),0)</f>
        <v>0</v>
      </c>
      <c r="M274" s="51">
        <f ca="1">IFERROR(__xludf.DUMMYFUNCTION("IMPORTRANGE(""https://docs.google.com/spreadsheets/d/1-uDff_7J0KD5mKrp0Vvzr7lt3OU09vwQwhkpOPPYv2Y/edit?usp=sharing"",""งบพรบ!DK86"")"),0)</f>
        <v>0</v>
      </c>
      <c r="N274" s="51">
        <f ca="1">IFERROR(__xludf.DUMMYFUNCTION("IMPORTRANGE(""https://docs.google.com/spreadsheets/d/1-uDff_7J0KD5mKrp0Vvzr7lt3OU09vwQwhkpOPPYv2Y/edit?usp=sharing"",""งบพรบ!DM86"")"),0)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IFERROR(__xludf.DUMMYFUNCTION("IMPORTRANGE(""https://docs.google.com/spreadsheets/d/1-uDff_7J0KD5mKrp0Vvzr7lt3OU09vwQwhkpOPPYv2Y/edit?usp=sharing"",""งบพรบ!DO86"")"),0)</f>
        <v>0</v>
      </c>
      <c r="M287" s="48">
        <f ca="1">IFERROR(__xludf.DUMMYFUNCTION("IMPORTRANGE(""https://docs.google.com/spreadsheets/d/1-uDff_7J0KD5mKrp0Vvzr7lt3OU09vwQwhkpOPPYv2Y/edit?usp=sharing"",""งบพรบ!DT86"")"),0)</f>
        <v>0</v>
      </c>
      <c r="N287" s="48">
        <f ca="1">IFERROR(__xludf.DUMMYFUNCTION("IMPORTRANGE(""https://docs.google.com/spreadsheets/d/1-uDff_7J0KD5mKrp0Vvzr7lt3OU09vwQwhkpOPPYv2Y/edit?usp=sharing"",""งบพรบ!DV86"")"),0)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IFERROR(__xludf.DUMMYFUNCTION("IMPORTRANGE(""https://docs.google.com/spreadsheets/d/1-uDff_7J0KD5mKrp0Vvzr7lt3OU09vwQwhkpOPPYv2Y/edit?usp=sharing"",""งบพรบ!DR86"")"),0)</f>
        <v>0</v>
      </c>
      <c r="M290" s="48">
        <f ca="1">IFERROR(__xludf.DUMMYFUNCTION("IMPORTRANGE(""https://docs.google.com/spreadsheets/d/1-uDff_7J0KD5mKrp0Vvzr7lt3OU09vwQwhkpOPPYv2Y/edit?usp=sharing"",""งบพรบ!DU86"")"),0)</f>
        <v>0</v>
      </c>
      <c r="N290" s="48">
        <f ca="1">IFERROR(__xludf.DUMMYFUNCTION("IMPORTRANGE(""https://docs.google.com/spreadsheets/d/1-uDff_7J0KD5mKrp0Vvzr7lt3OU09vwQwhkpOPPYv2Y/edit?usp=sharing"",""งบพรบ!DW86"")"),0)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IFERROR(__xludf.DUMMYFUNCTION("IMPORTRANGE(""https://docs.google.com/spreadsheets/d/1eHaY18a8A9IcSdp1K8H6x8fbOy06t2VsZHhMHf-1x7Y/edit?usp=sharing"",""แผน!EE86"")"),0)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IFERROR(__xludf.DUMMYFUNCTION("IMPORTRANGE(""https://docs.google.com/spreadsheets/d/1eHaY18a8A9IcSdp1K8H6x8fbOy06t2VsZHhMHf-1x7Y/edit?usp=sharing"",""แผน!ED86"")"),0)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IFERROR(__xludf.DUMMYFUNCTION("IMPORTRANGE(""https://docs.google.com/spreadsheets/d/1eHaY18a8A9IcSdp1K8H6x8fbOy06t2VsZHhMHf-1x7Y/edit?usp=sharing"",""แผน!ED86"")"),0)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IFERROR(__xludf.DUMMYFUNCTION("IMPORTRANGE(""https://docs.google.com/spreadsheets/d/1eHaY18a8A9IcSdp1K8H6x8fbOy06t2VsZHhMHf-1x7Y/edit?usp=sharing"",""แผน!ED86"")"),0)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IFERROR(__xludf.DUMMYFUNCTION("IMPORTRANGE(""https://docs.google.com/spreadsheets/d/1-uDff_7J0KD5mKrp0Vvzr7lt3OU09vwQwhkpOPPYv2Y/edit?usp=sharing"",""งบพรบ!DY86"")"),0)</f>
        <v>0</v>
      </c>
      <c r="M308" s="48">
        <f ca="1">IFERROR(__xludf.DUMMYFUNCTION("IMPORTRANGE(""https://docs.google.com/spreadsheets/d/1-uDff_7J0KD5mKrp0Vvzr7lt3OU09vwQwhkpOPPYv2Y/edit?usp=sharing"",""งบพรบ!ED86"")"),0)</f>
        <v>0</v>
      </c>
      <c r="N308" s="48">
        <f ca="1">IFERROR(__xludf.DUMMYFUNCTION("IMPORTRANGE(""https://docs.google.com/spreadsheets/d/1-uDff_7J0KD5mKrp0Vvzr7lt3OU09vwQwhkpOPPYv2Y/edit?usp=sharing"",""งบพรบ!EF86"")"),0)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IFERROR(__xludf.DUMMYFUNCTION("IMPORTRANGE(""https://docs.google.com/spreadsheets/d/1-uDff_7J0KD5mKrp0Vvzr7lt3OU09vwQwhkpOPPYv2Y/edit?usp=sharing"",""งบพรบ!EB86"")"),0)</f>
        <v>0</v>
      </c>
      <c r="M311" s="48">
        <f ca="1">IFERROR(__xludf.DUMMYFUNCTION("IMPORTRANGE(""https://docs.google.com/spreadsheets/d/1-uDff_7J0KD5mKrp0Vvzr7lt3OU09vwQwhkpOPPYv2Y/edit?usp=sharing"",""งบพรบ!EE86"")"),0)</f>
        <v>0</v>
      </c>
      <c r="N311" s="48">
        <f ca="1">IFERROR(__xludf.DUMMYFUNCTION("IMPORTRANGE(""https://docs.google.com/spreadsheets/d/1-uDff_7J0KD5mKrp0Vvzr7lt3OU09vwQwhkpOPPYv2Y/edit?usp=sharing"",""งบพรบ!EG86"")"),0)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IFERROR(__xludf.DUMMYFUNCTION("IMPORTRANGE(""https://docs.google.com/spreadsheets/d/1eHaY18a8A9IcSdp1K8H6x8fbOy06t2VsZHhMHf-1x7Y/edit?usp=sharing"",""แผน!EF86"")"),0)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IFERROR(__xludf.DUMMYFUNCTION("IMPORTRANGE(""https://docs.google.com/spreadsheets/d/1eHaY18a8A9IcSdp1K8H6x8fbOy06t2VsZHhMHf-1x7Y/edit?usp=sharing"",""แผน!EG86"")"),0)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IFERROR(__xludf.DUMMYFUNCTION("IMPORTRANGE(""https://docs.google.com/spreadsheets/d/1eHaY18a8A9IcSdp1K8H6x8fbOy06t2VsZHhMHf-1x7Y/edit?usp=sharing"",""แผน!EH86"")"),0)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IFERROR(__xludf.DUMMYFUNCTION("IMPORTRANGE(""https://docs.google.com/spreadsheets/d/1eHaY18a8A9IcSdp1K8H6x8fbOy06t2VsZHhMHf-1x7Y/edit?usp=sharing"",""แผน!EI86"")"),0)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1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20000</v>
      </c>
      <c r="M320" s="141">
        <f ca="1">M321+M322</f>
        <v>20000</v>
      </c>
      <c r="N320" s="141">
        <f ca="1">N321+N322</f>
        <v>1240</v>
      </c>
      <c r="O320" s="141">
        <f ca="1">IF(L320&gt;0,N320*100/L320,0)</f>
        <v>6.2</v>
      </c>
      <c r="P320" s="141">
        <f ca="1">IF(M320&gt;0,N320*100/M320,0)</f>
        <v>6.2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20000</v>
      </c>
      <c r="M322" s="48">
        <f ca="1">M325+M328</f>
        <v>20000</v>
      </c>
      <c r="N322" s="48">
        <f ca="1">N325+N328</f>
        <v>1240</v>
      </c>
      <c r="O322" s="48">
        <f ca="1">IF(L322&gt;0,N322*100/L322,0)</f>
        <v>6.2</v>
      </c>
      <c r="P322" s="48">
        <f ca="1">IF(M322&gt;0,N322*100/M322,0)</f>
        <v>6.2</v>
      </c>
    </row>
    <row r="323" spans="1:16" ht="18.75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20000</v>
      </c>
      <c r="M323" s="48">
        <f ca="1">M324+M325</f>
        <v>20000</v>
      </c>
      <c r="N323" s="48">
        <f ca="1">N324+N325</f>
        <v>1240</v>
      </c>
      <c r="O323" s="48">
        <f ca="1">IF(L323&gt;0,N323*100/L323,0)</f>
        <v>6.2</v>
      </c>
      <c r="P323" s="48">
        <f ca="1">IF(M323&gt;0,N323*100/M323,0)</f>
        <v>6.2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IFERROR(__xludf.DUMMYFUNCTION("IMPORTRANGE(""https://docs.google.com/spreadsheets/d/1-uDff_7J0KD5mKrp0Vvzr7lt3OU09vwQwhkpOPPYv2Y/edit?usp=sharing"",""งบพรบ!EI86"")"),20000)</f>
        <v>20000</v>
      </c>
      <c r="M325" s="48">
        <f ca="1">IFERROR(__xludf.DUMMYFUNCTION("IMPORTRANGE(""https://docs.google.com/spreadsheets/d/1-uDff_7J0KD5mKrp0Vvzr7lt3OU09vwQwhkpOPPYv2Y/edit?usp=sharing"",""งบพรบ!EN86"")"),20000)</f>
        <v>20000</v>
      </c>
      <c r="N325" s="48">
        <f ca="1">IFERROR(__xludf.DUMMYFUNCTION("IMPORTRANGE(""https://docs.google.com/spreadsheets/d/1-uDff_7J0KD5mKrp0Vvzr7lt3OU09vwQwhkpOPPYv2Y/edit?usp=sharing"",""งบพรบ!EP86"")"),1240)</f>
        <v>1240</v>
      </c>
      <c r="O325" s="48">
        <f ca="1">IF(L325&gt;0,N325*100/L325,0)</f>
        <v>6.2</v>
      </c>
      <c r="P325" s="48">
        <f ca="1">IF(M325&gt;0,N325*100/M325,0)</f>
        <v>6.2</v>
      </c>
    </row>
    <row r="326" spans="1:16" ht="18.75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IFERROR(__xludf.DUMMYFUNCTION("IMPORTRANGE(""https://docs.google.com/spreadsheets/d/1-uDff_7J0KD5mKrp0Vvzr7lt3OU09vwQwhkpOPPYv2Y/edit?usp=sharing"",""งบพรบ!EL86"")"),0)</f>
        <v>0</v>
      </c>
      <c r="M328" s="48">
        <f ca="1">IFERROR(__xludf.DUMMYFUNCTION("IMPORTRANGE(""https://docs.google.com/spreadsheets/d/1-uDff_7J0KD5mKrp0Vvzr7lt3OU09vwQwhkpOPPYv2Y/edit?usp=sharing"",""งบพรบ!EO86"")"),0)</f>
        <v>0</v>
      </c>
      <c r="N328" s="48">
        <f ca="1">IFERROR(__xludf.DUMMYFUNCTION("IMPORTRANGE(""https://docs.google.com/spreadsheets/d/1-uDff_7J0KD5mKrp0Vvzr7lt3OU09vwQwhkpOPPYv2Y/edit?usp=sharing"",""งบพรบ!EQ86"")"),0)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IFERROR(__xludf.DUMMYFUNCTION("IMPORTRANGE(""https://docs.google.com/spreadsheets/d/1eHaY18a8A9IcSdp1K8H6x8fbOy06t2VsZHhMHf-1x7Y/edit?usp=sharing"",""แผน!EJ86"")"),1)</f>
        <v>1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860</v>
      </c>
      <c r="J332" s="352">
        <f ca="1">J344+J347+J348+J349+J353</f>
        <v>252</v>
      </c>
      <c r="K332" s="353">
        <f ca="1">IF(I332&gt;0,J332*100/I332,0)</f>
        <v>29.302325581395348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106000</v>
      </c>
      <c r="M333" s="141">
        <f ca="1">M334+M335</f>
        <v>85750</v>
      </c>
      <c r="N333" s="141">
        <f ca="1">N334+N335</f>
        <v>23084</v>
      </c>
      <c r="O333" s="141">
        <f ca="1">IF(L333&gt;0,N333*100/L333,0)</f>
        <v>21.777358490566037</v>
      </c>
      <c r="P333" s="141">
        <f ca="1">IF(M333&gt;0,N333*100/M333,0)</f>
        <v>26.920116618075802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106000</v>
      </c>
      <c r="M335" s="48">
        <f ca="1">M338+M341</f>
        <v>85750</v>
      </c>
      <c r="N335" s="48">
        <f ca="1">N338+N341</f>
        <v>23084</v>
      </c>
      <c r="O335" s="48">
        <f ca="1">IF(L335&gt;0,N335*100/L335,0)</f>
        <v>21.777358490566037</v>
      </c>
      <c r="P335" s="48">
        <f ca="1">IF(M335&gt;0,N335*100/M335,0)</f>
        <v>26.920116618075802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106000</v>
      </c>
      <c r="M336" s="48">
        <f ca="1">M337+M338</f>
        <v>85750</v>
      </c>
      <c r="N336" s="48">
        <f ca="1">N337+N338</f>
        <v>23084</v>
      </c>
      <c r="O336" s="48">
        <f ca="1">IF(L336&gt;0,N336*100/L336,0)</f>
        <v>21.777358490566037</v>
      </c>
      <c r="P336" s="48">
        <f ca="1">IF(M336&gt;0,N336*100/M336,0)</f>
        <v>26.920116618075802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IFERROR(__xludf.DUMMYFUNCTION("IMPORTRANGE(""https://docs.google.com/spreadsheets/d/1-uDff_7J0KD5mKrp0Vvzr7lt3OU09vwQwhkpOPPYv2Y/edit?usp=sharing"",""งบพรบ!ES86"")"),106000)</f>
        <v>106000</v>
      </c>
      <c r="M338" s="48">
        <f ca="1">IFERROR(__xludf.DUMMYFUNCTION("IMPORTRANGE(""https://docs.google.com/spreadsheets/d/1-uDff_7J0KD5mKrp0Vvzr7lt3OU09vwQwhkpOPPYv2Y/edit?usp=sharing"",""งบพรบ!EX86"")"),85750)</f>
        <v>85750</v>
      </c>
      <c r="N338" s="48">
        <f ca="1">IFERROR(__xludf.DUMMYFUNCTION("IMPORTRANGE(""https://docs.google.com/spreadsheets/d/1-uDff_7J0KD5mKrp0Vvzr7lt3OU09vwQwhkpOPPYv2Y/edit?usp=sharing"",""งบพรบ!EZ86"")"),23084)</f>
        <v>23084</v>
      </c>
      <c r="O338" s="48">
        <f ca="1">IF(L338&gt;0,N338*100/L338,0)</f>
        <v>21.777358490566037</v>
      </c>
      <c r="P338" s="48">
        <f ca="1">IF(M338&gt;0,N338*100/M338,0)</f>
        <v>26.920116618075802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IFERROR(__xludf.DUMMYFUNCTION("IMPORTRANGE(""https://docs.google.com/spreadsheets/d/1-uDff_7J0KD5mKrp0Vvzr7lt3OU09vwQwhkpOPPYv2Y/edit?usp=sharing"",""งบพรบ!EV86"")"),0)</f>
        <v>0</v>
      </c>
      <c r="M341" s="48">
        <f ca="1">IFERROR(__xludf.DUMMYFUNCTION("IMPORTRANGE(""https://docs.google.com/spreadsheets/d/1-uDff_7J0KD5mKrp0Vvzr7lt3OU09vwQwhkpOPPYv2Y/edit?usp=sharing"",""งบพรบ!EY86"")"),0)</f>
        <v>0</v>
      </c>
      <c r="N341" s="48">
        <f ca="1">IFERROR(__xludf.DUMMYFUNCTION("IMPORTRANGE(""https://docs.google.com/spreadsheets/d/1-uDff_7J0KD5mKrp0Vvzr7lt3OU09vwQwhkpOPPYv2Y/edit?usp=sharing"",""งบพรบ!FA86"")"),0)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13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IFERROR(__xludf.DUMMYFUNCTION("IMPORTRANGE(""https://docs.google.com/spreadsheets/d/1eHaY18a8A9IcSdp1K8H6x8fbOy06t2VsZHhMHf-1x7Y/edit?usp=sharing"",""แผน!EK86"")"),860)</f>
        <v>860</v>
      </c>
      <c r="J344" s="170">
        <f ca="1">IFERROR(__xludf.DUMMYFUNCTION("IMPORTRANGE(""https://docs.google.com/spreadsheets/d/1awYsYK3VOup2i3Pq_Yjnu8DRu_mYwSBnCR2QPthd0rU/edit?usp=sharing"",""ศูนย์ยกเว้นโฉนด!D86"")"),12)</f>
        <v>12</v>
      </c>
      <c r="K344" s="48">
        <f ca="1">IF(I344&gt;0,J344*100/I344,0)</f>
        <v>1.3953488372093024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IFERROR(__xludf.DUMMYFUNCTION("IMPORTRANGE(""https://docs.google.com/spreadsheets/d/1eHaY18a8A9IcSdp1K8H6x8fbOy06t2VsZHhMHf-1x7Y/edit?usp=sharing"",""แผน!EL86"")"),3)</f>
        <v>3</v>
      </c>
      <c r="J346" s="170">
        <f ca="1">IFERROR(__xludf.DUMMYFUNCTION("IMPORTRANGE(""https://docs.google.com/spreadsheets/d/1awYsYK3VOup2i3Pq_Yjnu8DRu_mYwSBnCR2QPthd0rU/edit?usp=sharing"",""ศูนย์รวม!E86"")"),1)</f>
        <v>1</v>
      </c>
      <c r="K346" s="48">
        <f ca="1">IF(I346&gt;0,J346*100/I346,0)</f>
        <v>33.333333333333336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IFERROR(__xludf.DUMMYFUNCTION("IMPORTRANGE(""https://docs.google.com/spreadsheets/d/1awYsYK3VOup2i3Pq_Yjnu8DRu_mYwSBnCR2QPthd0rU/edit?usp=sharing"",""ศูนย์ยกเว้นโฉนด!F86"")"),0)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IFERROR(__xludf.DUMMYFUNCTION("IMPORTRANGE(""https://docs.google.com/spreadsheets/d/1awYsYK3VOup2i3Pq_Yjnu8DRu_mYwSBnCR2QPthd0rU/edit?usp=sharing"",""ศูนย์ยกเว้นโฉนด!G86"")"),1)</f>
        <v>1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IFERROR(__xludf.DUMMYFUNCTION("IMPORTRANGE(""https://docs.google.com/spreadsheets/d/1awYsYK3VOup2i3Pq_Yjnu8DRu_mYwSBnCR2QPthd0rU/edit?usp=sharing"",""ศูนย์ยกเว้นโฉนด!H86"")"),0)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647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IFERROR(__xludf.DUMMYFUNCTION("IMPORTRANGE(""https://docs.google.com/spreadsheets/d/1awYsYK3VOup2i3Pq_Yjnu8DRu_mYwSBnCR2QPthd0rU/edit?usp=sharing"",""โฉนดM3!G86"")"),408)</f>
        <v>408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IFERROR(__xludf.DUMMYFUNCTION("IMPORTRANGE(""https://docs.google.com/spreadsheets/d/1awYsYK3VOup2i3Pq_Yjnu8DRu_mYwSBnCR2QPthd0rU/edit?usp=sharing"",""โฉนดM3!H86"")"),239)</f>
        <v>239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607245</v>
      </c>
      <c r="M356" s="141">
        <f ca="1">M357+M358</f>
        <v>497445</v>
      </c>
      <c r="N356" s="141">
        <f ca="1">N357+N358</f>
        <v>147342</v>
      </c>
      <c r="O356" s="141">
        <f ca="1">IF(L356&gt;0,N356*100/L356,0)</f>
        <v>24.264012054442606</v>
      </c>
      <c r="P356" s="141">
        <f ca="1">IF(M356&gt;0,N356*100/M356,0)</f>
        <v>29.619756958055664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607245</v>
      </c>
      <c r="M358" s="48">
        <f ca="1">M361+M364</f>
        <v>497445</v>
      </c>
      <c r="N358" s="48">
        <f ca="1">N361+N364</f>
        <v>147342</v>
      </c>
      <c r="O358" s="48">
        <f ca="1">IF(L358&gt;0,N358*100/L358,0)</f>
        <v>24.264012054442606</v>
      </c>
      <c r="P358" s="48">
        <f ca="1">IF(M358&gt;0,N358*100/M358,0)</f>
        <v>29.619756958055664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607245</v>
      </c>
      <c r="M359" s="48">
        <f ca="1">M360+M361</f>
        <v>497445</v>
      </c>
      <c r="N359" s="48">
        <f ca="1">N360+N361</f>
        <v>147342</v>
      </c>
      <c r="O359" s="48">
        <f ca="1">IF(L359&gt;0,N359*100/L359,0)</f>
        <v>24.264012054442606</v>
      </c>
      <c r="P359" s="48">
        <f ca="1">IF(M359&gt;0,N359*100/M359,0)</f>
        <v>29.619756958055664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IFERROR(__xludf.DUMMYFUNCTION("IMPORTRANGE(""https://docs.google.com/spreadsheets/d/1-uDff_7J0KD5mKrp0Vvzr7lt3OU09vwQwhkpOPPYv2Y/edit?usp=sharing"",""งบพรบ!FC86"")"),607245)</f>
        <v>607245</v>
      </c>
      <c r="M361" s="48">
        <f ca="1">IFERROR(__xludf.DUMMYFUNCTION("IMPORTRANGE(""https://docs.google.com/spreadsheets/d/1-uDff_7J0KD5mKrp0Vvzr7lt3OU09vwQwhkpOPPYv2Y/edit?usp=sharing"",""งบพรบ!FH86"")"),497445)</f>
        <v>497445</v>
      </c>
      <c r="N361" s="48">
        <f ca="1">IFERROR(__xludf.DUMMYFUNCTION("IMPORTRANGE(""https://docs.google.com/spreadsheets/d/1-uDff_7J0KD5mKrp0Vvzr7lt3OU09vwQwhkpOPPYv2Y/edit?usp=sharing"",""งบพรบ!FJ86"")"),147342)</f>
        <v>147342</v>
      </c>
      <c r="O361" s="48">
        <f ca="1">IF(L361&gt;0,N361*100/L361,0)</f>
        <v>24.264012054442606</v>
      </c>
      <c r="P361" s="48">
        <f ca="1">IF(M361&gt;0,N361*100/M361,0)</f>
        <v>29.619756958055664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IFERROR(__xludf.DUMMYFUNCTION("IMPORTRANGE(""https://docs.google.com/spreadsheets/d/1-uDff_7J0KD5mKrp0Vvzr7lt3OU09vwQwhkpOPPYv2Y/edit?usp=sharing"",""งบพรบ!FF86"")"),0)</f>
        <v>0</v>
      </c>
      <c r="M364" s="48">
        <f ca="1">IFERROR(__xludf.DUMMYFUNCTION("IMPORTRANGE(""https://docs.google.com/spreadsheets/d/1-uDff_7J0KD5mKrp0Vvzr7lt3OU09vwQwhkpOPPYv2Y/edit?usp=sharing"",""งบพรบ!FI86"")"),0)</f>
        <v>0</v>
      </c>
      <c r="N364" s="48">
        <f ca="1">IFERROR(__xludf.DUMMYFUNCTION("IMPORTRANGE(""https://docs.google.com/spreadsheets/d/1-uDff_7J0KD5mKrp0Vvzr7lt3OU09vwQwhkpOPPYv2Y/edit?usp=sharing"",""งบพรบ!FK86"")"),0)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154</v>
      </c>
      <c r="J365" s="240">
        <f ca="1">J371</f>
        <v>56</v>
      </c>
      <c r="K365" s="241">
        <f ca="1">IF(I365&gt;0,J365*100/I365,0)</f>
        <v>36.363636363636367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IFERROR(__xludf.DUMMYFUNCTION("IMPORTRANGE(""https://docs.google.com/spreadsheets/d/1tdoBKaGub7dwA3U6UFTqxio9LNnvDCQjHKmttSEBsFQ/edit?usp=sharing"",""จัดที่ดิน!AB86"")"),0)</f>
        <v>0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IFERROR(__xludf.DUMMYFUNCTION("IMPORTRANGE(""https://docs.google.com/spreadsheets/d/1eHaY18a8A9IcSdp1K8H6x8fbOy06t2VsZHhMHf-1x7Y/edit?usp=sharing"",""แผน!EW86"")"),1390)</f>
        <v>1390</v>
      </c>
      <c r="J368" s="368">
        <f ca="1">IFERROR(__xludf.DUMMYFUNCTION("IMPORTRANGE(""https://docs.google.com/spreadsheets/d/1tdoBKaGub7dwA3U6UFTqxio9LNnvDCQjHKmttSEBsFQ/edit?usp=sharing"",""จัดที่ดิน!AC86"")"),0)</f>
        <v>0</v>
      </c>
      <c r="K368" s="48">
        <f ca="1">IF(I368&gt;0,J368*100/I368,0)</f>
        <v>0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IFERROR(__xludf.DUMMYFUNCTION("IMPORTRANGE(""https://docs.google.com/spreadsheets/d/1eHaY18a8A9IcSdp1K8H6x8fbOy06t2VsZHhMHf-1x7Y/edit?usp=sharing"",""แผน!EX86"")"),242)</f>
        <v>242</v>
      </c>
      <c r="J369" s="170">
        <f ca="1">IFERROR(__xludf.DUMMYFUNCTION("IMPORTRANGE(""https://docs.google.com/spreadsheets/d/1tdoBKaGub7dwA3U6UFTqxio9LNnvDCQjHKmttSEBsFQ/edit?usp=sharing"",""จัดที่ดิน!AD86"")"),56)</f>
        <v>56</v>
      </c>
      <c r="K369" s="48">
        <f ca="1">IF(I369&gt;0,J369*100/I369,0)</f>
        <v>23.140495867768596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IFERROR(__xludf.DUMMYFUNCTION("IMPORTRANGE(""https://docs.google.com/spreadsheets/d/1tdoBKaGub7dwA3U6UFTqxio9LNnvDCQjHKmttSEBsFQ/edit?usp=sharing"",""จัดที่ดิน!AE86"")"),618.22)</f>
        <v>618.22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IFERROR(__xludf.DUMMYFUNCTION("IMPORTRANGE(""https://docs.google.com/spreadsheets/d/1eHaY18a8A9IcSdp1K8H6x8fbOy06t2VsZHhMHf-1x7Y/edit?usp=sharing"",""แผน!EY86"")"),154)</f>
        <v>154</v>
      </c>
      <c r="J371" s="170">
        <f ca="1">IFERROR(__xludf.DUMMYFUNCTION("IMPORTRANGE(""https://docs.google.com/spreadsheets/d/1tdoBKaGub7dwA3U6UFTqxio9LNnvDCQjHKmttSEBsFQ/edit?usp=sharing"",""จัดที่ดิน!AF86"")"),56)</f>
        <v>56</v>
      </c>
      <c r="K371" s="48">
        <f ca="1">IF(I371&gt;0,J371*100/I371,0)</f>
        <v>36.363636363636367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IFERROR(__xludf.DUMMYFUNCTION("IMPORTRANGE(""https://docs.google.com/spreadsheets/d/1tdoBKaGub7dwA3U6UFTqxio9LNnvDCQjHKmttSEBsFQ/edit?usp=sharing"",""จัดที่ดิน!AG86"")"),618.22)</f>
        <v>618.22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IFERROR(__xludf.DUMMYFUNCTION("IMPORTRANGE(""https://docs.google.com/spreadsheets/d/1-uDff_7J0KD5mKrp0Vvzr7lt3OU09vwQwhkpOPPYv2Y/edit?usp=sharing"",""งบพรบ!FM86"")"),0)</f>
        <v>0</v>
      </c>
      <c r="M382" s="51">
        <f ca="1">IFERROR(__xludf.DUMMYFUNCTION("IMPORTRANGE(""https://docs.google.com/spreadsheets/d/1-uDff_7J0KD5mKrp0Vvzr7lt3OU09vwQwhkpOPPYv2Y/edit?usp=sharing"",""งบพรบ!FR86"")"),0)</f>
        <v>0</v>
      </c>
      <c r="N382" s="51">
        <f ca="1">IFERROR(__xludf.DUMMYFUNCTION("IMPORTRANGE(""https://docs.google.com/spreadsheets/d/1-uDff_7J0KD5mKrp0Vvzr7lt3OU09vwQwhkpOPPYv2Y/edit?usp=sharing"",""งบพรบ!FT86"")"),0)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IFERROR(__xludf.DUMMYFUNCTION("IMPORTRANGE(""https://docs.google.com/spreadsheets/d/1-uDff_7J0KD5mKrp0Vvzr7lt3OU09vwQwhkpOPPYv2Y/edit?usp=sharing"",""งบพรบ!FP86"")"),0)</f>
        <v>0</v>
      </c>
      <c r="M385" s="51">
        <f ca="1">IFERROR(__xludf.DUMMYFUNCTION("IMPORTRANGE(""https://docs.google.com/spreadsheets/d/1-uDff_7J0KD5mKrp0Vvzr7lt3OU09vwQwhkpOPPYv2Y/edit?usp=sharing"",""งบพรบ!FS86"")"),0)</f>
        <v>0</v>
      </c>
      <c r="N385" s="51">
        <f ca="1">IFERROR(__xludf.DUMMYFUNCTION("IMPORTRANGE(""https://docs.google.com/spreadsheets/d/1-uDff_7J0KD5mKrp0Vvzr7lt3OU09vwQwhkpOPPYv2Y/edit?usp=sharing"",""งบพรบ!FU86"")"),0)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4" orientation="portrait" r:id="rId1"/>
  <headerFooter>
    <oddFooter>&amp;Cหน้า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9A8F7-2C9F-4335-937B-059BD143671B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1.28515625" bestFit="1" customWidth="1"/>
    <col min="11" max="11" width="12.28515625" bestFit="1" customWidth="1"/>
    <col min="12" max="12" width="20.7109375" bestFit="1" customWidth="1"/>
    <col min="13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167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1088325</v>
      </c>
      <c r="M18" s="34">
        <f ca="1">M19+M20</f>
        <v>877375</v>
      </c>
      <c r="N18" s="34">
        <f ca="1">N19+N20</f>
        <v>197299.5</v>
      </c>
      <c r="O18" s="34">
        <f ca="1">IF(L18&gt;0,N18*100/L18,0)</f>
        <v>18.128729929019364</v>
      </c>
      <c r="P18" s="34">
        <f ca="1">IF(M18&gt;0,N18*100/M18,0)</f>
        <v>22.487476848553925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1088325</v>
      </c>
      <c r="M20" s="40">
        <f ca="1">M23+M26</f>
        <v>877375</v>
      </c>
      <c r="N20" s="40">
        <f ca="1">N23+N26</f>
        <v>197299.5</v>
      </c>
      <c r="O20" s="40">
        <f ca="1">IF(L20&gt;0,N20*100/L20,0)</f>
        <v>18.128729929019364</v>
      </c>
      <c r="P20" s="40">
        <f ca="1">IF(M20&gt;0,N20*100/M20,0)</f>
        <v>22.487476848553925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1088325</v>
      </c>
      <c r="M21" s="48">
        <f ca="1">M22+M23</f>
        <v>877375</v>
      </c>
      <c r="N21" s="48">
        <f ca="1">N22+N23</f>
        <v>197299.5</v>
      </c>
      <c r="O21" s="48">
        <f ca="1">IF(L21&gt;0,N21*100/L21,0)</f>
        <v>18.128729929019364</v>
      </c>
      <c r="P21" s="48">
        <f ca="1">IF(M21&gt;0,N21*100/M21,0)</f>
        <v>22.487476848553925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1088325</v>
      </c>
      <c r="M23" s="48">
        <f ca="1">M49+M64+M77+M99+M130+M144+M162+M191+M178+M271+M287+M308+M325+M338+M361+M382</f>
        <v>877375</v>
      </c>
      <c r="N23" s="48">
        <f ca="1">N49+N64+N77+N99+N130+N144+N162+N191+N178+N271+N287+N308+N325+N338+N361+N382</f>
        <v>197299.5</v>
      </c>
      <c r="O23" s="48">
        <f ca="1">IF(L23&gt;0,N23*100/L23,0)</f>
        <v>18.128729929019364</v>
      </c>
      <c r="P23" s="48">
        <f ca="1">IF(M23&gt;0,N23*100/M23,0)</f>
        <v>22.487476848553925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1088325</v>
      </c>
      <c r="M40" s="65">
        <f ca="1">M44+M59+M72+M94+M125+M139+M157+M173+M186+M266+M282+M303+M320+M333+M356</f>
        <v>877375</v>
      </c>
      <c r="N40" s="65">
        <f ca="1">N44+N59+N72+N94+N125+N139+N157+N173+N186+N266+N282+N303+N320+N333+N356</f>
        <v>197299.5</v>
      </c>
      <c r="O40" s="65">
        <f ca="1">IF(L40&gt;0,N40*100/L40,0)</f>
        <v>18.128729929019364</v>
      </c>
      <c r="P40" s="65">
        <f ca="1">IF(M40&gt;0,N40*100/M40,0)</f>
        <v>22.487476848553925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224450</v>
      </c>
      <c r="M44" s="84">
        <f ca="1">M45+M46</f>
        <v>224450</v>
      </c>
      <c r="N44" s="84">
        <f ca="1">N45+N46</f>
        <v>75250</v>
      </c>
      <c r="O44" s="84">
        <f ca="1">IF(L44&gt;0,N44*100/L44,0)</f>
        <v>33.526397861439072</v>
      </c>
      <c r="P44" s="84">
        <f ca="1">IF(M44&gt;0,N44*100/M44,0)</f>
        <v>33.526397861439072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224450</v>
      </c>
      <c r="M46" s="90">
        <f ca="1">M49+M52</f>
        <v>224450</v>
      </c>
      <c r="N46" s="90">
        <f ca="1">N49+N52</f>
        <v>75250</v>
      </c>
      <c r="O46" s="90">
        <f ca="1">IF(L46&gt;0,N46*100/L46,0)</f>
        <v>33.526397861439072</v>
      </c>
      <c r="P46" s="90">
        <f ca="1">IF(M46&gt;0,N46*100/M46,0)</f>
        <v>33.526397861439072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224450</v>
      </c>
      <c r="M47" s="48">
        <f ca="1">M48+M49</f>
        <v>224450</v>
      </c>
      <c r="N47" s="48">
        <f ca="1">N48+N49</f>
        <v>75250</v>
      </c>
      <c r="O47" s="48">
        <f ca="1">IF(L47&gt;0,N47*100/L47,0)</f>
        <v>33.526397861439072</v>
      </c>
      <c r="P47" s="48">
        <f ca="1">IF(M47&gt;0,N47*100/M47,0)</f>
        <v>33.526397861439072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IFERROR(__xludf.DUMMYFUNCTION("IMPORTRANGE(""https://docs.google.com/spreadsheets/d/1-uDff_7J0KD5mKrp0Vvzr7lt3OU09vwQwhkpOPPYv2Y/edit?usp=sharing"",""งบพรบ!P87"")"),224450)</f>
        <v>224450</v>
      </c>
      <c r="M49" s="48">
        <f ca="1">IFERROR(__xludf.DUMMYFUNCTION("IMPORTRANGE(""https://docs.google.com/spreadsheets/d/1-uDff_7J0KD5mKrp0Vvzr7lt3OU09vwQwhkpOPPYv2Y/edit?usp=sharing"",""งบพรบ!V87"")"),224450)</f>
        <v>224450</v>
      </c>
      <c r="N49" s="48">
        <f ca="1">IFERROR(__xludf.DUMMYFUNCTION("IMPORTRANGE(""https://docs.google.com/spreadsheets/d/1-uDff_7J0KD5mKrp0Vvzr7lt3OU09vwQwhkpOPPYv2Y/edit?usp=sharing"",""งบพรบ!Y87"")"),75250)</f>
        <v>75250</v>
      </c>
      <c r="O49" s="48">
        <f ca="1">IF(L49&gt;0,N49*100/L49,0)</f>
        <v>33.526397861439072</v>
      </c>
      <c r="P49" s="48">
        <f ca="1">IF(M49&gt;0,N49*100/M49,0)</f>
        <v>33.526397861439072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IFERROR(__xludf.DUMMYFUNCTION("IMPORTRANGE(""https://docs.google.com/spreadsheets/d/1-uDff_7J0KD5mKrp0Vvzr7lt3OU09vwQwhkpOPPYv2Y/edit?usp=sharing"",""งบพรบ!S87"")"),0)</f>
        <v>0</v>
      </c>
      <c r="M52" s="48">
        <f ca="1">IFERROR(__xludf.DUMMYFUNCTION("IMPORTRANGE(""https://docs.google.com/spreadsheets/d/1-uDff_7J0KD5mKrp0Vvzr7lt3OU09vwQwhkpOPPYv2Y/edit?usp=sharing"",""งบพรบ!W87"")"),0)</f>
        <v>0</v>
      </c>
      <c r="N52" s="48">
        <f ca="1">IFERROR(__xludf.DUMMYFUNCTION("IMPORTRANGE(""https://docs.google.com/spreadsheets/d/1-uDff_7J0KD5mKrp0Vvzr7lt3OU09vwQwhkpOPPYv2Y/edit?usp=sharing"",""งบพรบ!Z87"")"),0)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215400</v>
      </c>
      <c r="M59" s="113">
        <f ca="1">M60+M61</f>
        <v>163600</v>
      </c>
      <c r="N59" s="113">
        <f ca="1">N60+N61</f>
        <v>47777.5</v>
      </c>
      <c r="O59" s="113">
        <f ca="1">IF(L59&gt;0,N59*100/L59,0)</f>
        <v>22.180826369545031</v>
      </c>
      <c r="P59" s="113">
        <f ca="1">IF(M59&gt;0,N59*100/M59,0)</f>
        <v>29.203850855745721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215400</v>
      </c>
      <c r="M61" s="119">
        <f ca="1">M64+M67</f>
        <v>163600</v>
      </c>
      <c r="N61" s="119">
        <f ca="1">N64+N67</f>
        <v>47777.5</v>
      </c>
      <c r="O61" s="119">
        <f ca="1">IF(L61&gt;0,N61*100/L61,0)</f>
        <v>22.180826369545031</v>
      </c>
      <c r="P61" s="119">
        <f ca="1">IF(M61&gt;0,N61*100/M61,0)</f>
        <v>29.203850855745721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215400</v>
      </c>
      <c r="M62" s="48">
        <f ca="1">M63+M64</f>
        <v>163600</v>
      </c>
      <c r="N62" s="48">
        <f ca="1">N63+N64</f>
        <v>47777.5</v>
      </c>
      <c r="O62" s="48">
        <f ca="1">IF(L62&gt;0,N62*100/L62,0)</f>
        <v>22.180826369545031</v>
      </c>
      <c r="P62" s="48">
        <f ca="1">IF(M62&gt;0,N62*100/M62,0)</f>
        <v>29.203850855745721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IFERROR(__xludf.DUMMYFUNCTION("IMPORTRANGE(""https://docs.google.com/spreadsheets/d/1-uDff_7J0KD5mKrp0Vvzr7lt3OU09vwQwhkpOPPYv2Y/edit?usp=sharing"",""งบพรบ!AC87"")"),215400)</f>
        <v>215400</v>
      </c>
      <c r="M64" s="48">
        <f ca="1">IFERROR(__xludf.DUMMYFUNCTION("IMPORTRANGE(""https://docs.google.com/spreadsheets/d/1-uDff_7J0KD5mKrp0Vvzr7lt3OU09vwQwhkpOPPYv2Y/edit?usp=sharing"",""งบพรบ!AH87"")"),163600)</f>
        <v>163600</v>
      </c>
      <c r="N64" s="48">
        <f ca="1">IFERROR(__xludf.DUMMYFUNCTION("IMPORTRANGE(""https://docs.google.com/spreadsheets/d/1-uDff_7J0KD5mKrp0Vvzr7lt3OU09vwQwhkpOPPYv2Y/edit?usp=sharing"",""งบพรบ!AJ87"")"),47777.5)</f>
        <v>47777.5</v>
      </c>
      <c r="O64" s="48">
        <f ca="1">IF(L64&gt;0,N64*100/L64,0)</f>
        <v>22.180826369545031</v>
      </c>
      <c r="P64" s="48">
        <f ca="1">IF(M64&gt;0,N64*100/M64,0)</f>
        <v>29.203850855745721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IFERROR(__xludf.DUMMYFUNCTION("IMPORTRANGE(""https://docs.google.com/spreadsheets/d/1-uDff_7J0KD5mKrp0Vvzr7lt3OU09vwQwhkpOPPYv2Y/edit?usp=sharing"",""งบพรบ!AF87"")"),0)</f>
        <v>0</v>
      </c>
      <c r="M67" s="59">
        <f ca="1">IFERROR(__xludf.DUMMYFUNCTION("IMPORTRANGE(""https://docs.google.com/spreadsheets/d/1-uDff_7J0KD5mKrp0Vvzr7lt3OU09vwQwhkpOPPYv2Y/edit?usp=sharing"",""งบพรบ!AI87"")"),0)</f>
        <v>0</v>
      </c>
      <c r="N67" s="59">
        <f ca="1">IFERROR(__xludf.DUMMYFUNCTION("IMPORTRANGE(""https://docs.google.com/spreadsheets/d/1-uDff_7J0KD5mKrp0Vvzr7lt3OU09vwQwhkpOPPYv2Y/edit?usp=sharing"",""งบพรบ!AK87"")"),0)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hidden="1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IFERROR(__xludf.DUMMYFUNCTION("IMPORTRANGE(""https://docs.google.com/spreadsheets/d/1-uDff_7J0KD5mKrp0Vvzr7lt3OU09vwQwhkpOPPYv2Y/edit?usp=sharing"",""งบพรบ!AM87"")"),0)</f>
        <v>0</v>
      </c>
      <c r="M77" s="48">
        <f ca="1">IFERROR(__xludf.DUMMYFUNCTION("IMPORTRANGE(""https://docs.google.com/spreadsheets/d/1-uDff_7J0KD5mKrp0Vvzr7lt3OU09vwQwhkpOPPYv2Y/edit?usp=sharing"",""งบพรบ!AR87"")"),0)</f>
        <v>0</v>
      </c>
      <c r="N77" s="48">
        <f ca="1">IFERROR(__xludf.DUMMYFUNCTION("IMPORTRANGE(""https://docs.google.com/spreadsheets/d/1-uDff_7J0KD5mKrp0Vvzr7lt3OU09vwQwhkpOPPYv2Y/edit?usp=sharing"",""งบพรบ!AT87"")"),0)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IFERROR(__xludf.DUMMYFUNCTION("IMPORTRANGE(""https://docs.google.com/spreadsheets/d/1-uDff_7J0KD5mKrp0Vvzr7lt3OU09vwQwhkpOPPYv2Y/edit?usp=sharing"",""งบพรบ!AP87"")"),0)</f>
        <v>0</v>
      </c>
      <c r="M80" s="48">
        <f ca="1">IFERROR(__xludf.DUMMYFUNCTION("IMPORTRANGE(""https://docs.google.com/spreadsheets/d/1-uDff_7J0KD5mKrp0Vvzr7lt3OU09vwQwhkpOPPYv2Y/edit?usp=sharing"",""งบพรบ!AS87"")"),0)</f>
        <v>0</v>
      </c>
      <c r="N80" s="48">
        <f ca="1">IFERROR(__xludf.DUMMYFUNCTION("IMPORTRANGE(""https://docs.google.com/spreadsheets/d/1-uDff_7J0KD5mKrp0Vvzr7lt3OU09vwQwhkpOPPYv2Y/edit?usp=sharing"",""งบพรบ!AU87"")"),0)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IFERROR(__xludf.DUMMYFUNCTION("IMPORTRANGE(""https://docs.google.com/spreadsheets/d/1eHaY18a8A9IcSdp1K8H6x8fbOy06t2VsZHhMHf-1x7Y/edit?usp=sharing"",""แผน!H87"")"),0)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IFERROR(__xludf.DUMMYFUNCTION("IMPORTRANGE(""https://docs.google.com/spreadsheets/d/1eHaY18a8A9IcSdp1K8H6x8fbOy06t2VsZHhMHf-1x7Y/edit?usp=sharing"",""แผน!I87"")"),0)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IFERROR(__xludf.DUMMYFUNCTION("IMPORTRANGE(""https://docs.google.com/spreadsheets/d/1eHaY18a8A9IcSdp1K8H6x8fbOy06t2VsZHhMHf-1x7Y/edit?usp=sharing"",""แผน!F87"")"),0)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IFERROR(__xludf.DUMMYFUNCTION("IMPORTRANGE(""https://docs.google.com/spreadsheets/d/1eHaY18a8A9IcSdp1K8H6x8fbOy06t2VsZHhMHf-1x7Y/edit?usp=sharing"",""แผน!G87"")"),0)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IFERROR(__xludf.DUMMYFUNCTION("IMPORTRANGE(""https://docs.google.com/spreadsheets/d/1eHaY18a8A9IcSdp1K8H6x8fbOy06t2VsZHhMHf-1x7Y/edit?usp=sharing"",""แผน!D87"")"),0)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IFERROR(__xludf.DUMMYFUNCTION("IMPORTRANGE(""https://docs.google.com/spreadsheets/d/1eHaY18a8A9IcSdp1K8H6x8fbOy06t2VsZHhMHf-1x7Y/edit?usp=sharing"",""แผน!E87"")"),0)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IFERROR(__xludf.DUMMYFUNCTION("IMPORTRANGE(""https://docs.google.com/spreadsheets/d/1eHaY18a8A9IcSdp1K8H6x8fbOy06t2VsZHhMHf-1x7Y/edit?usp=sharing"",""แผน!J87"")"),0)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IFERROR(__xludf.DUMMYFUNCTION("IMPORTRANGE(""https://docs.google.com/spreadsheets/d/1-uDff_7J0KD5mKrp0Vvzr7lt3OU09vwQwhkpOPPYv2Y/edit?usp=sharing"",""งบพรบ!AW87"")"),0)</f>
        <v>0</v>
      </c>
      <c r="M99" s="48">
        <f ca="1">IFERROR(__xludf.DUMMYFUNCTION("IMPORTRANGE(""https://docs.google.com/spreadsheets/d/1-uDff_7J0KD5mKrp0Vvzr7lt3OU09vwQwhkpOPPYv2Y/edit?usp=sharing"",""งบพรบ!BB87"")"),0)</f>
        <v>0</v>
      </c>
      <c r="N99" s="48">
        <f ca="1">IFERROR(__xludf.DUMMYFUNCTION("IMPORTRANGE(""https://docs.google.com/spreadsheets/d/1-uDff_7J0KD5mKrp0Vvzr7lt3OU09vwQwhkpOPPYv2Y/edit?usp=sharing"",""งบพรบ!BD87"")"),0)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IFERROR(__xludf.DUMMYFUNCTION("IMPORTRANGE(""https://docs.google.com/spreadsheets/d/1-uDff_7J0KD5mKrp0Vvzr7lt3OU09vwQwhkpOPPYv2Y/edit?usp=sharing"",""งบพรบ!AZ87"")"),0)</f>
        <v>0</v>
      </c>
      <c r="M102" s="48">
        <f ca="1">IFERROR(__xludf.DUMMYFUNCTION("IMPORTRANGE(""https://docs.google.com/spreadsheets/d/1-uDff_7J0KD5mKrp0Vvzr7lt3OU09vwQwhkpOPPYv2Y/edit?usp=sharing"",""งบพรบ!BC87"")"),0)</f>
        <v>0</v>
      </c>
      <c r="N102" s="48">
        <f ca="1">IFERROR(__xludf.DUMMYFUNCTION("IMPORTRANGE(""https://docs.google.com/spreadsheets/d/1-uDff_7J0KD5mKrp0Vvzr7lt3OU09vwQwhkpOPPYv2Y/edit?usp=sharing"",""งบพรบ!BE87"")"),0)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IFERROR(__xludf.DUMMYFUNCTION("IMPORTRANGE(""https://docs.google.com/spreadsheets/d/1eHaY18a8A9IcSdp1K8H6x8fbOy06t2VsZHhMHf-1x7Y/edit?usp=sharing"",""แผน!N87"")"),0)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IFERROR(__xludf.DUMMYFUNCTION("IMPORTRANGE(""https://docs.google.com/spreadsheets/d/1eHaY18a8A9IcSdp1K8H6x8fbOy06t2VsZHhMHf-1x7Y/edit?usp=sharing"",""แผน!O87"")"),0)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IFERROR(__xludf.DUMMYFUNCTION("IMPORTRANGE(""https://docs.google.com/spreadsheets/d/1eHaY18a8A9IcSdp1K8H6x8fbOy06t2VsZHhMHf-1x7Y/edit?usp=sharing"",""แผน!R87"")"),0)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IFERROR(__xludf.DUMMYFUNCTION("IMPORTRANGE(""https://docs.google.com/spreadsheets/d/1-uDff_7J0KD5mKrp0Vvzr7lt3OU09vwQwhkpOPPYv2Y/edit?usp=sharing"",""งบพรบ!BG87"")"),0)</f>
        <v>0</v>
      </c>
      <c r="M130" s="178">
        <f ca="1">IFERROR(__xludf.DUMMYFUNCTION("IMPORTRANGE(""https://docs.google.com/spreadsheets/d/1-uDff_7J0KD5mKrp0Vvzr7lt3OU09vwQwhkpOPPYv2Y/edit?usp=sharing"",""งบพรบ!BL87"")"),0)</f>
        <v>0</v>
      </c>
      <c r="N130" s="178">
        <f ca="1">IFERROR(__xludf.DUMMYFUNCTION("IMPORTRANGE(""https://docs.google.com/spreadsheets/d/1-uDff_7J0KD5mKrp0Vvzr7lt3OU09vwQwhkpOPPYv2Y/edit?usp=sharing"",""งบพรบ!BN87"")"),0)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IFERROR(__xludf.DUMMYFUNCTION("IMPORTRANGE(""https://docs.google.com/spreadsheets/d/1-uDff_7J0KD5mKrp0Vvzr7lt3OU09vwQwhkpOPPYv2Y/edit?usp=sharing"",""งบพรบ!BJ87"")"),0)</f>
        <v>0</v>
      </c>
      <c r="M133" s="178">
        <f ca="1">IFERROR(__xludf.DUMMYFUNCTION("IMPORTRANGE(""https://docs.google.com/spreadsheets/d/1-uDff_7J0KD5mKrp0Vvzr7lt3OU09vwQwhkpOPPYv2Y/edit?usp=sharing"",""งบพรบ!BM87"")"),0)</f>
        <v>0</v>
      </c>
      <c r="N133" s="178">
        <f ca="1">IFERROR(__xludf.DUMMYFUNCTION("IMPORTRANGE(""https://docs.google.com/spreadsheets/d/1-uDff_7J0KD5mKrp0Vvzr7lt3OU09vwQwhkpOPPYv2Y/edit?usp=sharing"",""งบพรบ!BO87"")"),0)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hidden="1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hidden="1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hidden="1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hidden="1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hidden="1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0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hidden="1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0</v>
      </c>
      <c r="M139" s="141">
        <f ca="1">M140+M141</f>
        <v>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hidden="1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0</v>
      </c>
      <c r="M141" s="48">
        <f ca="1">M144+M147</f>
        <v>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hidden="1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0</v>
      </c>
      <c r="M142" s="48">
        <f ca="1">M143+M144</f>
        <v>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hidden="1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IFERROR(__xludf.DUMMYFUNCTION("IMPORTRANGE(""https://docs.google.com/spreadsheets/d/1-uDff_7J0KD5mKrp0Vvzr7lt3OU09vwQwhkpOPPYv2Y/edit?usp=sharing"",""งบพรบ!BQ87"")"),0)</f>
        <v>0</v>
      </c>
      <c r="M144" s="48">
        <f ca="1">IFERROR(__xludf.DUMMYFUNCTION("IMPORTRANGE(""https://docs.google.com/spreadsheets/d/1-uDff_7J0KD5mKrp0Vvzr7lt3OU09vwQwhkpOPPYv2Y/edit?usp=sharing"",""งบพรบ!BV87"")"),0)</f>
        <v>0</v>
      </c>
      <c r="N144" s="48">
        <f ca="1">IFERROR(__xludf.DUMMYFUNCTION("IMPORTRANGE(""https://docs.google.com/spreadsheets/d/1-uDff_7J0KD5mKrp0Vvzr7lt3OU09vwQwhkpOPPYv2Y/edit?usp=sharing"",""งบพรบ!BX87"")"),0)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hidden="1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hidden="1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IFERROR(__xludf.DUMMYFUNCTION("IMPORTRANGE(""https://docs.google.com/spreadsheets/d/1-uDff_7J0KD5mKrp0Vvzr7lt3OU09vwQwhkpOPPYv2Y/edit?usp=sharing"",""งบพรบ!BT87"")"),0)</f>
        <v>0</v>
      </c>
      <c r="M147" s="48">
        <f ca="1">IFERROR(__xludf.DUMMYFUNCTION("IMPORTRANGE(""https://docs.google.com/spreadsheets/d/1-uDff_7J0KD5mKrp0Vvzr7lt3OU09vwQwhkpOPPYv2Y/edit?usp=sharing"",""งบพรบ!BW87"")"),0)</f>
        <v>0</v>
      </c>
      <c r="N147" s="48">
        <f ca="1">IFERROR(__xludf.DUMMYFUNCTION("IMPORTRANGE(""https://docs.google.com/spreadsheets/d/1-uDff_7J0KD5mKrp0Vvzr7lt3OU09vwQwhkpOPPYv2Y/edit?usp=sharing"",""งบพรบ!BY87"")"),0)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hidden="1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hidden="1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hidden="1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IFERROR(__xludf.DUMMYFUNCTION("IMPORTRANGE(""https://docs.google.com/spreadsheets/d/1eHaY18a8A9IcSdp1K8H6x8fbOy06t2VsZHhMHf-1x7Y/edit?usp=sharing"",""แผน!U87"")"),0)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hidden="1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IFERROR(__xludf.DUMMYFUNCTION("IMPORTRANGE(""https://docs.google.com/spreadsheets/d/1eHaY18a8A9IcSdp1K8H6x8fbOy06t2VsZHhMHf-1x7Y/edit?usp=sharing"",""แผน!V87"")"),0)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hidden="1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IFERROR(__xludf.DUMMYFUNCTION("IMPORTRANGE(""https://docs.google.com/spreadsheets/d/1eHaY18a8A9IcSdp1K8H6x8fbOy06t2VsZHhMHf-1x7Y/edit?usp=sharing"",""แผน!W87"")"),0)</f>
        <v>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hidden="1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IFERROR(__xludf.DUMMYFUNCTION("IMPORTRANGE(""https://docs.google.com/spreadsheets/d/1eHaY18a8A9IcSdp1K8H6x8fbOy06t2VsZHhMHf-1x7Y/edit?usp=sharing"",""แผน!X87"")"),0)</f>
        <v>0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hidden="1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IFERROR(__xludf.DUMMYFUNCTION("IMPORTRANGE(""https://docs.google.com/spreadsheets/d/1eHaY18a8A9IcSdp1K8H6x8fbOy06t2VsZHhMHf-1x7Y/edit?usp=sharing"",""แผน!Y87"")"),0)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IFERROR(__xludf.DUMMYFUNCTION("IMPORTRANGE(""https://docs.google.com/spreadsheets/d/1-uDff_7J0KD5mKrp0Vvzr7lt3OU09vwQwhkpOPPYv2Y/edit?usp=sharing"",""งบพรบ!CA87"")"),0)</f>
        <v>0</v>
      </c>
      <c r="M162" s="48">
        <f ca="1">IFERROR(__xludf.DUMMYFUNCTION("IMPORTRANGE(""https://docs.google.com/spreadsheets/d/1-uDff_7J0KD5mKrp0Vvzr7lt3OU09vwQwhkpOPPYv2Y/edit?usp=sharing"",""งบพรบ!CF87"")"),0)</f>
        <v>0</v>
      </c>
      <c r="N162" s="48">
        <f ca="1">IFERROR(__xludf.DUMMYFUNCTION("IMPORTRANGE(""https://docs.google.com/spreadsheets/d/1-uDff_7J0KD5mKrp0Vvzr7lt3OU09vwQwhkpOPPYv2Y/edit?usp=sharing"",""งบพรบ!CH87"")"),0)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IFERROR(__xludf.DUMMYFUNCTION("IMPORTRANGE(""https://docs.google.com/spreadsheets/d/1-uDff_7J0KD5mKrp0Vvzr7lt3OU09vwQwhkpOPPYv2Y/edit?usp=sharing"",""งบพรบ!CD87"")"),0)</f>
        <v>0</v>
      </c>
      <c r="M165" s="48">
        <f ca="1">IFERROR(__xludf.DUMMYFUNCTION("IMPORTRANGE(""https://docs.google.com/spreadsheets/d/1-uDff_7J0KD5mKrp0Vvzr7lt3OU09vwQwhkpOPPYv2Y/edit?usp=sharing"",""งบพรบ!CG87"")"),0)</f>
        <v>0</v>
      </c>
      <c r="N165" s="48">
        <f ca="1">IFERROR(__xludf.DUMMYFUNCTION("IMPORTRANGE(""https://docs.google.com/spreadsheets/d/1-uDff_7J0KD5mKrp0Vvzr7lt3OU09vwQwhkpOPPYv2Y/edit?usp=sharing"",""งบพรบ!CI87"")"),0)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IFERROR(__xludf.DUMMYFUNCTION("IMPORTRANGE(""https://docs.google.com/spreadsheets/d/1eHaY18a8A9IcSdp1K8H6x8fbOy06t2VsZHhMHf-1x7Y/edit?usp=sharing"",""แผน!Z87"")"),0)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IFERROR(__xludf.DUMMYFUNCTION("IMPORTRANGE(""https://docs.google.com/spreadsheets/d/1eHaY18a8A9IcSdp1K8H6x8fbOy06t2VsZHhMHf-1x7Y/edit?usp=sharing"",""แผน!Z87"")"),0)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IFERROR(__xludf.DUMMYFUNCTION("IMPORTRANGE(""https://docs.google.com/spreadsheets/d/1eHaY18a8A9IcSdp1K8H6x8fbOy06t2VsZHhMHf-1x7Y/edit?usp=sharing"",""แผน!Z87"")"),0)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10590</v>
      </c>
      <c r="O173" s="141">
        <f ca="1">IF(L173&gt;0,N173*100/L173,0)</f>
        <v>54.05819295558959</v>
      </c>
      <c r="P173" s="141">
        <f ca="1">IF(M173&gt;0,N173*100/M173,0)</f>
        <v>54.05819295558959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10590</v>
      </c>
      <c r="O175" s="48">
        <f ca="1">IF(L175&gt;0,N175*100/L175,0)</f>
        <v>54.05819295558959</v>
      </c>
      <c r="P175" s="48">
        <f ca="1">IF(M175&gt;0,N175*100/M175,0)</f>
        <v>54.05819295558959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10590</v>
      </c>
      <c r="O176" s="48">
        <f ca="1">IF(L176&gt;0,N176*100/L176,0)</f>
        <v>54.05819295558959</v>
      </c>
      <c r="P176" s="48">
        <f ca="1">IF(M176&gt;0,N176*100/M176,0)</f>
        <v>54.05819295558959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IFERROR(__xludf.DUMMYFUNCTION("IMPORTRANGE(""https://docs.google.com/spreadsheets/d/1-uDff_7J0KD5mKrp0Vvzr7lt3OU09vwQwhkpOPPYv2Y/edit?usp=sharing"",""งบพรบ!CK87"")"),19590)</f>
        <v>19590</v>
      </c>
      <c r="M178" s="48">
        <f ca="1">IFERROR(__xludf.DUMMYFUNCTION("IMPORTRANGE(""https://docs.google.com/spreadsheets/d/1-uDff_7J0KD5mKrp0Vvzr7lt3OU09vwQwhkpOPPYv2Y/edit?usp=sharing"",""งบพรบ!CP87"")"),19590)</f>
        <v>19590</v>
      </c>
      <c r="N178" s="48">
        <f ca="1">IFERROR(__xludf.DUMMYFUNCTION("IMPORTRANGE(""https://docs.google.com/spreadsheets/d/1-uDff_7J0KD5mKrp0Vvzr7lt3OU09vwQwhkpOPPYv2Y/edit?usp=sharing"",""งบพรบ!CR87"")"),10590)</f>
        <v>10590</v>
      </c>
      <c r="O178" s="48">
        <f ca="1">IF(L178&gt;0,N178*100/L178,0)</f>
        <v>54.05819295558959</v>
      </c>
      <c r="P178" s="48">
        <f ca="1">IF(M178&gt;0,N178*100/M178,0)</f>
        <v>54.05819295558959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IFERROR(__xludf.DUMMYFUNCTION("IMPORTRANGE(""https://docs.google.com/spreadsheets/d/1-uDff_7J0KD5mKrp0Vvzr7lt3OU09vwQwhkpOPPYv2Y/edit?usp=sharing"",""งบพรบ!CN87"")"),0)</f>
        <v>0</v>
      </c>
      <c r="M181" s="48">
        <f ca="1">IFERROR(__xludf.DUMMYFUNCTION("IMPORTRANGE(""https://docs.google.com/spreadsheets/d/1-uDff_7J0KD5mKrp0Vvzr7lt3OU09vwQwhkpOPPYv2Y/edit?usp=sharing"",""งบพรบ!CQ87"")"),0)</f>
        <v>0</v>
      </c>
      <c r="N181" s="48">
        <f ca="1">IFERROR(__xludf.DUMMYFUNCTION("IMPORTRANGE(""https://docs.google.com/spreadsheets/d/1-uDff_7J0KD5mKrp0Vvzr7lt3OU09vwQwhkpOPPYv2Y/edit?usp=sharing"",""งบพรบ!CS87"")"),0)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IFERROR(__xludf.DUMMYFUNCTION("IMPORTRANGE(""https://docs.google.com/spreadsheets/d/1eHaY18a8A9IcSdp1K8H6x8fbOy06t2VsZHhMHf-1x7Y/edit?usp=sharing"",""แผน!AA87"")"),7)</f>
        <v>7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269400</v>
      </c>
      <c r="M186" s="141">
        <f ca="1">M187+M188</f>
        <v>189500</v>
      </c>
      <c r="N186" s="141">
        <f ca="1">N187+N188</f>
        <v>29690</v>
      </c>
      <c r="O186" s="141">
        <f ca="1">IF(L186&gt;0,N186*100/L186,0)</f>
        <v>11.020786933927246</v>
      </c>
      <c r="P186" s="141">
        <f ca="1">IF(M186&gt;0,N186*100/M186,0)</f>
        <v>15.66754617414248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269400</v>
      </c>
      <c r="M188" s="48">
        <f ca="1">M191+M194</f>
        <v>189500</v>
      </c>
      <c r="N188" s="48">
        <f ca="1">N191+N194</f>
        <v>29690</v>
      </c>
      <c r="O188" s="48">
        <f ca="1">IF(L188&gt;0,N188*100/L188,0)</f>
        <v>11.020786933927246</v>
      </c>
      <c r="P188" s="48">
        <f ca="1">IF(M188&gt;0,N188*100/M188,0)</f>
        <v>15.66754617414248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269400</v>
      </c>
      <c r="M189" s="48">
        <f ca="1">M190+M191</f>
        <v>189500</v>
      </c>
      <c r="N189" s="48">
        <f ca="1">N190+N191</f>
        <v>29690</v>
      </c>
      <c r="O189" s="48">
        <f ca="1">IF(L189&gt;0,N189*100/L189,0)</f>
        <v>11.020786933927246</v>
      </c>
      <c r="P189" s="48">
        <f ca="1">IF(M189&gt;0,N189*100/M189,0)</f>
        <v>15.66754617414248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IFERROR(__xludf.DUMMYFUNCTION("IMPORTRANGE(""https://docs.google.com/spreadsheets/d/1-uDff_7J0KD5mKrp0Vvzr7lt3OU09vwQwhkpOPPYv2Y/edit?usp=sharing"",""งบพรบ!CU87"")"),269400)</f>
        <v>269400</v>
      </c>
      <c r="M191" s="48">
        <f ca="1">IFERROR(__xludf.DUMMYFUNCTION("IMPORTRANGE(""https://docs.google.com/spreadsheets/d/1-uDff_7J0KD5mKrp0Vvzr7lt3OU09vwQwhkpOPPYv2Y/edit?usp=sharing"",""งบพรบ!CZ87"")"),189500)</f>
        <v>189500</v>
      </c>
      <c r="N191" s="48">
        <f ca="1">IFERROR(__xludf.DUMMYFUNCTION("IMPORTRANGE(""https://docs.google.com/spreadsheets/d/1-uDff_7J0KD5mKrp0Vvzr7lt3OU09vwQwhkpOPPYv2Y/edit?usp=sharing"",""งบพรบ!DB87"")"),29690)</f>
        <v>29690</v>
      </c>
      <c r="O191" s="48">
        <f ca="1">IF(L191&gt;0,N191*100/L191,0)</f>
        <v>11.020786933927246</v>
      </c>
      <c r="P191" s="48">
        <f ca="1">IF(M191&gt;0,N191*100/M191,0)</f>
        <v>15.66754617414248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IFERROR(__xludf.DUMMYFUNCTION("IMPORTRANGE(""https://docs.google.com/spreadsheets/d/1-uDff_7J0KD5mKrp0Vvzr7lt3OU09vwQwhkpOPPYv2Y/edit?usp=sharing"",""งบพรบ!CX87"")"),0)</f>
        <v>0</v>
      </c>
      <c r="M194" s="48">
        <f ca="1">IFERROR(__xludf.DUMMYFUNCTION("IMPORTRANGE(""https://docs.google.com/spreadsheets/d/1-uDff_7J0KD5mKrp0Vvzr7lt3OU09vwQwhkpOPPYv2Y/edit?usp=sharing"",""งบพรบ!DA87"")"),0)</f>
        <v>0</v>
      </c>
      <c r="N194" s="48">
        <f ca="1">IFERROR(__xludf.DUMMYFUNCTION("IMPORTRANGE(""https://docs.google.com/spreadsheets/d/1-uDff_7J0KD5mKrp0Vvzr7lt3OU09vwQwhkpOPPYv2Y/edit?usp=sharing"",""งบพรบ!DC87"")"),0)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IFERROR(__xludf.DUMMYFUNCTION("IMPORTRANGE(""https://docs.google.com/spreadsheets/d/1eHaY18a8A9IcSdp1K8H6x8fbOy06t2VsZHhMHf-1x7Y/edit?usp=sharing"",""แผน!AB87"")"),6000)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IFERROR(__xludf.DUMMYFUNCTION("IMPORTRANGE(""https://docs.google.com/spreadsheets/d/1eHaY18a8A9IcSdp1K8H6x8fbOy06t2VsZHhMHf-1x7Y/edit?usp=sharing"",""แผน!AE87"")"),4)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1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13000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IFERROR(__xludf.DUMMYFUNCTION("IMPORTRANGE(""https://docs.google.com/spreadsheets/d/1eHaY18a8A9IcSdp1K8H6x8fbOy06t2VsZHhMHf-1x7Y/edit?usp=sharing"",""แผน!AG87"")"),1000)</f>
        <v>1000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IFERROR(__xludf.DUMMYFUNCTION("IMPORTRANGE(""https://docs.google.com/spreadsheets/d/1eHaY18a8A9IcSdp1K8H6x8fbOy06t2VsZHhMHf-1x7Y/edit?usp=sharing"",""แผน!AH87"")"),0)</f>
        <v>0</v>
      </c>
      <c r="M205" s="47"/>
      <c r="N205" s="249">
        <v>0</v>
      </c>
      <c r="O205" s="146"/>
      <c r="P205" s="47"/>
    </row>
    <row r="206" spans="1:16" ht="21" customHeight="1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IFERROR(__xludf.DUMMYFUNCTION("IMPORTRANGE(""https://docs.google.com/spreadsheets/d/1eHaY18a8A9IcSdp1K8H6x8fbOy06t2VsZHhMHf-1x7Y/edit?usp=sharing"",""แผน!AI87"")"),8000)</f>
        <v>8000</v>
      </c>
      <c r="M206" s="47"/>
      <c r="N206" s="249">
        <v>0</v>
      </c>
      <c r="O206" s="146"/>
      <c r="P206" s="47"/>
    </row>
    <row r="207" spans="1:16" ht="18.75" x14ac:dyDescent="0.25">
      <c r="A207" s="532"/>
      <c r="B207" s="531"/>
      <c r="C207" s="530"/>
      <c r="D207" s="52" t="s">
        <v>83</v>
      </c>
      <c r="E207" s="530"/>
      <c r="F207" s="530"/>
      <c r="G207" s="529"/>
      <c r="H207" s="528" t="s">
        <v>12</v>
      </c>
      <c r="I207" s="527"/>
      <c r="J207" s="527"/>
      <c r="K207" s="523"/>
      <c r="L207" s="526">
        <f ca="1">IFERROR(__xludf.DUMMYFUNCTION("IMPORTRANGE(""https://docs.google.com/spreadsheets/d/1eHaY18a8A9IcSdp1K8H6x8fbOy06t2VsZHhMHf-1x7Y/edit?usp=sharing"",""แผน!AJ87"")"),4000)</f>
        <v>4000</v>
      </c>
      <c r="M207" s="523"/>
      <c r="N207" s="525">
        <v>0</v>
      </c>
      <c r="O207" s="524"/>
      <c r="P207" s="523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IFERROR(__xludf.DUMMYFUNCTION("IMPORTRANGE(""https://docs.google.com/spreadsheets/d/1eHaY18a8A9IcSdp1K8H6x8fbOy06t2VsZHhMHf-1x7Y/edit?usp=sharing"",""แผน!AK87"")"),1)</f>
        <v>1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IFERROR(__xludf.DUMMYFUNCTION("IMPORTRANGE(""https://docs.google.com/spreadsheets/d/1eHaY18a8A9IcSdp1K8H6x8fbOy06t2VsZHhMHf-1x7Y/edit?usp=sharing"",""แผน!AK87"")"),1)</f>
        <v>1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IFERROR(__xludf.DUMMYFUNCTION("IMPORTRANGE(""https://docs.google.com/spreadsheets/d/1eHaY18a8A9IcSdp1K8H6x8fbOy06t2VsZHhMHf-1x7Y/edit?usp=sharing"",""แผน!AK87"")"),1)</f>
        <v>1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hidden="1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hidden="1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hidden="1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IFERROR(__xludf.DUMMYFUNCTION("IMPORTRANGE(""https://docs.google.com/spreadsheets/d/1eHaY18a8A9IcSdp1K8H6x8fbOy06t2VsZHhMHf-1x7Y/edit?usp=sharing"",""แผน!AM87"")"),0)</f>
        <v>0</v>
      </c>
      <c r="M215" s="47"/>
      <c r="N215" s="249">
        <v>0</v>
      </c>
      <c r="O215" s="146"/>
      <c r="P215" s="47"/>
    </row>
    <row r="216" spans="1:16" ht="18.75" hidden="1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IFERROR(__xludf.DUMMYFUNCTION("IMPORTRANGE(""https://docs.google.com/spreadsheets/d/1eHaY18a8A9IcSdp1K8H6x8fbOy06t2VsZHhMHf-1x7Y/edit?usp=sharing"",""แผน!AN87"")"),0)</f>
        <v>0</v>
      </c>
      <c r="M216" s="47"/>
      <c r="N216" s="249">
        <v>0</v>
      </c>
      <c r="O216" s="146"/>
      <c r="P216" s="47"/>
    </row>
    <row r="217" spans="1:16" ht="18.75" hidden="1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IFERROR(__xludf.DUMMYFUNCTION("IMPORTRANGE(""https://docs.google.com/spreadsheets/d/1eHaY18a8A9IcSdp1K8H6x8fbOy06t2VsZHhMHf-1x7Y/edit?usp=sharing"",""แผน!AO87"")"),0)</f>
        <v>0</v>
      </c>
      <c r="M217" s="47"/>
      <c r="N217" s="249">
        <v>0</v>
      </c>
      <c r="O217" s="146"/>
      <c r="P217" s="47"/>
    </row>
    <row r="218" spans="1:16" ht="19.5" hidden="1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hidden="1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IFERROR(__xludf.DUMMYFUNCTION("IMPORTRANGE(""https://docs.google.com/spreadsheets/d/1eHaY18a8A9IcSdp1K8H6x8fbOy06t2VsZHhMHf-1x7Y/edit?usp=sharing"",""แผน!AP87"")"),0)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hidden="1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IFERROR(__xludf.DUMMYFUNCTION("IMPORTRANGE(""https://docs.google.com/spreadsheets/d/1eHaY18a8A9IcSdp1K8H6x8fbOy06t2VsZHhMHf-1x7Y/edit?usp=sharing"",""แผน!AP87"")"),0)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6400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IFERROR(__xludf.DUMMYFUNCTION("IMPORTRANGE(""https://docs.google.com/spreadsheets/d/1eHaY18a8A9IcSdp1K8H6x8fbOy06t2VsZHhMHf-1x7Y/edit?usp=sharing"",""แผน!AR87"")"),3000)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IFERROR(__xludf.DUMMYFUNCTION("IMPORTRANGE(""https://docs.google.com/spreadsheets/d/1eHaY18a8A9IcSdp1K8H6x8fbOy06t2VsZHhMHf-1x7Y/edit?usp=sharing"",""แผน!AS87"")"),1500)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IFERROR(__xludf.DUMMYFUNCTION("IMPORTRANGE(""https://docs.google.com/spreadsheets/d/1eHaY18a8A9IcSdp1K8H6x8fbOy06t2VsZHhMHf-1x7Y/edit?usp=sharing"",""แผน!AT87"")"),0)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IFERROR(__xludf.DUMMYFUNCTION("IMPORTRANGE(""https://docs.google.com/spreadsheets/d/1eHaY18a8A9IcSdp1K8H6x8fbOy06t2VsZHhMHf-1x7Y/edit?usp=sharing"",""แผน!AV87"")"),6400)</f>
        <v>6400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IFERROR(__xludf.DUMMYFUNCTION("IMPORTRANGE(""https://docs.google.com/spreadsheets/d/1eHaY18a8A9IcSdp1K8H6x8fbOy06t2VsZHhMHf-1x7Y/edit?usp=sharing"",""แผน!AV87"")"),6400)</f>
        <v>6400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IFERROR(__xludf.DUMMYFUNCTION("IMPORTRANGE(""https://docs.google.com/spreadsheets/d/1eHaY18a8A9IcSdp1K8H6x8fbOy06t2VsZHhMHf-1x7Y/edit?usp=sharing"",""แผน!AU87"")"),0)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34"/>
      <c r="B231" s="235"/>
      <c r="C231" s="236" t="s">
        <v>101</v>
      </c>
      <c r="D231" s="237"/>
      <c r="E231" s="237"/>
      <c r="F231" s="237"/>
      <c r="G231" s="238"/>
      <c r="H231" s="239" t="s">
        <v>33</v>
      </c>
      <c r="I231" s="240">
        <f ca="1">I242+I253</f>
        <v>0</v>
      </c>
      <c r="J231" s="240">
        <f>J242+J253</f>
        <v>0</v>
      </c>
      <c r="K231" s="241">
        <f ca="1">IF(I231&gt;0,J231*100/I231,0)</f>
        <v>0</v>
      </c>
      <c r="L231" s="242"/>
      <c r="M231" s="242"/>
      <c r="N231" s="242"/>
      <c r="O231" s="242"/>
      <c r="P231" s="242"/>
    </row>
    <row r="232" spans="1:16" ht="19.5" hidden="1" x14ac:dyDescent="0.3">
      <c r="A232" s="137"/>
      <c r="B232" s="42"/>
      <c r="C232" s="198" t="s">
        <v>16</v>
      </c>
      <c r="D232" s="475" t="s">
        <v>17</v>
      </c>
      <c r="E232" s="42"/>
      <c r="F232" s="42"/>
      <c r="G232" s="44"/>
      <c r="H232" s="244" t="s">
        <v>12</v>
      </c>
      <c r="I232" s="145"/>
      <c r="J232" s="145"/>
      <c r="K232" s="146"/>
      <c r="L232" s="141">
        <f ca="1">L243+L254</f>
        <v>0</v>
      </c>
      <c r="M232" s="47"/>
      <c r="N232" s="141">
        <f>N243+N254</f>
        <v>0</v>
      </c>
      <c r="O232" s="47"/>
      <c r="P232" s="47"/>
    </row>
    <row r="233" spans="1:16" ht="18.75" hidden="1" x14ac:dyDescent="0.25">
      <c r="A233" s="137"/>
      <c r="B233" s="229"/>
      <c r="C233" s="42"/>
      <c r="D233" s="52" t="s">
        <v>89</v>
      </c>
      <c r="E233" s="42"/>
      <c r="F233" s="42"/>
      <c r="G233" s="44"/>
      <c r="H233" s="144" t="s">
        <v>12</v>
      </c>
      <c r="I233" s="145"/>
      <c r="J233" s="145"/>
      <c r="K233" s="146"/>
      <c r="L233" s="48">
        <f ca="1">L244+L255</f>
        <v>0</v>
      </c>
      <c r="M233" s="47"/>
      <c r="N233" s="48">
        <f>N244+N255</f>
        <v>0</v>
      </c>
      <c r="O233" s="47"/>
      <c r="P233" s="47"/>
    </row>
    <row r="234" spans="1:16" ht="18.75" hidden="1" x14ac:dyDescent="0.25">
      <c r="A234" s="228"/>
      <c r="B234" s="229"/>
      <c r="C234" s="229"/>
      <c r="D234" s="52" t="s">
        <v>82</v>
      </c>
      <c r="E234" s="42"/>
      <c r="F234" s="42"/>
      <c r="G234" s="44"/>
      <c r="H234" s="144" t="s">
        <v>12</v>
      </c>
      <c r="I234" s="46"/>
      <c r="J234" s="46"/>
      <c r="K234" s="47"/>
      <c r="L234" s="48">
        <f ca="1">L245+L256</f>
        <v>0</v>
      </c>
      <c r="M234" s="47"/>
      <c r="N234" s="48">
        <f>N245+N256</f>
        <v>0</v>
      </c>
      <c r="O234" s="47"/>
      <c r="P234" s="47"/>
    </row>
    <row r="235" spans="1:16" ht="18.75" hidden="1" x14ac:dyDescent="0.25">
      <c r="A235" s="228"/>
      <c r="B235" s="229"/>
      <c r="C235" s="229"/>
      <c r="D235" s="52" t="s">
        <v>102</v>
      </c>
      <c r="E235" s="42"/>
      <c r="F235" s="42"/>
      <c r="G235" s="44"/>
      <c r="H235" s="144" t="s">
        <v>12</v>
      </c>
      <c r="I235" s="46"/>
      <c r="J235" s="46"/>
      <c r="K235" s="47"/>
      <c r="L235" s="48">
        <f ca="1">L246+L257</f>
        <v>0</v>
      </c>
      <c r="M235" s="47"/>
      <c r="N235" s="48">
        <f>N246+N257</f>
        <v>0</v>
      </c>
      <c r="O235" s="47"/>
      <c r="P235" s="47"/>
    </row>
    <row r="236" spans="1:16" ht="18.75" hidden="1" x14ac:dyDescent="0.25">
      <c r="A236" s="228"/>
      <c r="B236" s="229"/>
      <c r="C236" s="229"/>
      <c r="D236" s="52" t="s">
        <v>103</v>
      </c>
      <c r="E236" s="42"/>
      <c r="F236" s="42"/>
      <c r="G236" s="44"/>
      <c r="H236" s="144" t="s">
        <v>12</v>
      </c>
      <c r="I236" s="46"/>
      <c r="J236" s="46"/>
      <c r="K236" s="47"/>
      <c r="L236" s="48">
        <f ca="1">L247+L258</f>
        <v>0</v>
      </c>
      <c r="M236" s="47"/>
      <c r="N236" s="48">
        <f>N247+N258</f>
        <v>0</v>
      </c>
      <c r="O236" s="47"/>
      <c r="P236" s="47"/>
    </row>
    <row r="237" spans="1:16" ht="19.5" hidden="1" x14ac:dyDescent="0.3">
      <c r="A237" s="149"/>
      <c r="B237" s="150"/>
      <c r="C237" s="252" t="s">
        <v>16</v>
      </c>
      <c r="D237" s="473" t="s">
        <v>36</v>
      </c>
      <c r="E237" s="152"/>
      <c r="F237" s="152"/>
      <c r="G237" s="153"/>
      <c r="H237" s="154"/>
      <c r="I237" s="145"/>
      <c r="J237" s="46"/>
      <c r="K237" s="47"/>
      <c r="L237" s="47"/>
      <c r="M237" s="47"/>
      <c r="N237" s="47"/>
      <c r="O237" s="146"/>
      <c r="P237" s="146"/>
    </row>
    <row r="238" spans="1:16" ht="18.75" hidden="1" x14ac:dyDescent="0.25">
      <c r="A238" s="149"/>
      <c r="B238" s="150"/>
      <c r="C238" s="150"/>
      <c r="D238" s="160" t="s">
        <v>104</v>
      </c>
      <c r="E238" s="156"/>
      <c r="F238" s="156"/>
      <c r="G238" s="154"/>
      <c r="H238" s="251" t="s">
        <v>33</v>
      </c>
      <c r="I238" s="170">
        <f ca="1">I249+I260</f>
        <v>0</v>
      </c>
      <c r="J238" s="170">
        <f>J249+J260</f>
        <v>0</v>
      </c>
      <c r="K238" s="48">
        <f ca="1">IF(I238&gt;0,J238*100/I238,0)</f>
        <v>0</v>
      </c>
      <c r="L238" s="47"/>
      <c r="M238" s="47"/>
      <c r="N238" s="47"/>
      <c r="O238" s="47"/>
      <c r="P238" s="47"/>
    </row>
    <row r="239" spans="1:16" ht="18.75" hidden="1" x14ac:dyDescent="0.25">
      <c r="A239" s="149"/>
      <c r="B239" s="150"/>
      <c r="C239" s="150"/>
      <c r="D239" s="522" t="s">
        <v>41</v>
      </c>
      <c r="E239" s="156"/>
      <c r="F239" s="156"/>
      <c r="G239" s="154"/>
      <c r="H239" s="154"/>
      <c r="I239" s="46"/>
      <c r="J239" s="46"/>
      <c r="K239" s="47"/>
      <c r="L239" s="47"/>
      <c r="M239" s="47"/>
      <c r="N239" s="47"/>
      <c r="O239" s="146"/>
      <c r="P239" s="146"/>
    </row>
    <row r="240" spans="1:16" ht="18.75" hidden="1" x14ac:dyDescent="0.25">
      <c r="A240" s="149"/>
      <c r="B240" s="150"/>
      <c r="C240" s="150"/>
      <c r="D240" s="150"/>
      <c r="E240" s="155" t="s">
        <v>105</v>
      </c>
      <c r="F240" s="156"/>
      <c r="G240" s="154"/>
      <c r="H240" s="251" t="s">
        <v>33</v>
      </c>
      <c r="I240" s="170">
        <f>I251+I262</f>
        <v>0</v>
      </c>
      <c r="J240" s="170">
        <f>J251+J262</f>
        <v>0</v>
      </c>
      <c r="K240" s="48">
        <f>IF(I240&gt;0,J240*100/I240,0)</f>
        <v>0</v>
      </c>
      <c r="L240" s="47"/>
      <c r="M240" s="47"/>
      <c r="N240" s="47"/>
      <c r="O240" s="47"/>
      <c r="P240" s="47"/>
    </row>
    <row r="241" spans="1:16" ht="18.75" hidden="1" x14ac:dyDescent="0.25">
      <c r="A241" s="149"/>
      <c r="B241" s="150"/>
      <c r="C241" s="150"/>
      <c r="D241" s="150"/>
      <c r="E241" s="155" t="s">
        <v>106</v>
      </c>
      <c r="F241" s="156"/>
      <c r="G241" s="154"/>
      <c r="H241" s="251" t="s">
        <v>54</v>
      </c>
      <c r="I241" s="170">
        <f>I252+I263</f>
        <v>0</v>
      </c>
      <c r="J241" s="170">
        <f>J252+J263</f>
        <v>0</v>
      </c>
      <c r="K241" s="48">
        <f>IF(I241&gt;0,J241*100/I241,0)</f>
        <v>0</v>
      </c>
      <c r="L241" s="47"/>
      <c r="M241" s="47"/>
      <c r="N241" s="47"/>
      <c r="O241" s="47"/>
      <c r="P241" s="47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IFERROR(__xludf.DUMMYFUNCTION("IMPORTRANGE(""https://docs.google.com/spreadsheets/d/1eHaY18a8A9IcSdp1K8H6x8fbOy06t2VsZHhMHf-1x7Y/edit?usp=sharing"",""แผน!AX87"")"),0)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IFERROR(__xludf.DUMMYFUNCTION("IMPORTRANGE(""https://docs.google.com/spreadsheets/d/1eHaY18a8A9IcSdp1K8H6x8fbOy06t2VsZHhMHf-1x7Y/edit?usp=sharing"",""แผน!AY87"")"),0)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IFERROR(__xludf.DUMMYFUNCTION("IMPORTRANGE(""https://docs.google.com/spreadsheets/d/1eHaY18a8A9IcSdp1K8H6x8fbOy06t2VsZHhMHf-1x7Y/edit?usp=sharing"",""แผน!AZ87"")"),0)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IFERROR(__xludf.DUMMYFUNCTION("IMPORTRANGE(""https://docs.google.com/spreadsheets/d/1eHaY18a8A9IcSdp1K8H6x8fbOy06t2VsZHhMHf-1x7Y/edit?usp=sharing"",""แผน!BA87"")"),0)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IFERROR(__xludf.DUMMYFUNCTION("IMPORTRANGE(""https://docs.google.com/spreadsheets/d/1eHaY18a8A9IcSdp1K8H6x8fbOy06t2VsZHhMHf-1x7Y/edit?usp=sharing"",""แผน!BG87"")"),0)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IFERROR(__xludf.DUMMYFUNCTION("IMPORTRANGE(""https://docs.google.com/spreadsheets/d/1eHaY18a8A9IcSdp1K8H6x8fbOy06t2VsZHhMHf-1x7Y/edit?usp=sharing"",""แผน!BB87"")"),0)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IFERROR(__xludf.DUMMYFUNCTION("IMPORTRANGE(""https://docs.google.com/spreadsheets/d/1eHaY18a8A9IcSdp1K8H6x8fbOy06t2VsZHhMHf-1x7Y/edit?usp=sharing"",""แผน!BC87"")"),0)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IFERROR(__xludf.DUMMYFUNCTION("IMPORTRANGE(""https://docs.google.com/spreadsheets/d/1eHaY18a8A9IcSdp1K8H6x8fbOy06t2VsZHhMHf-1x7Y/edit?usp=sharing"",""แผน!BD87"")"),0)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IFERROR(__xludf.DUMMYFUNCTION("IMPORTRANGE(""https://docs.google.com/spreadsheets/d/1eHaY18a8A9IcSdp1K8H6x8fbOy06t2VsZHhMHf-1x7Y/edit?usp=sharing"",""แผน!BE87"")"),0)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IFERROR(__xludf.DUMMYFUNCTION("IMPORTRANGE(""https://docs.google.com/spreadsheets/d/1eHaY18a8A9IcSdp1K8H6x8fbOy06t2VsZHhMHf-1x7Y/edit?usp=sharing"",""แผน!BH87"")"),0)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IFERROR(__xludf.DUMMYFUNCTION("IMPORTRANGE(""https://docs.google.com/spreadsheets/d/1-uDff_7J0KD5mKrp0Vvzr7lt3OU09vwQwhkpOPPYv2Y/edit?usp=sharing"",""งบพรบ!DE87"")"),0)</f>
        <v>0</v>
      </c>
      <c r="M271" s="51">
        <f ca="1">IFERROR(__xludf.DUMMYFUNCTION("IMPORTRANGE(""https://docs.google.com/spreadsheets/d/1-uDff_7J0KD5mKrp0Vvzr7lt3OU09vwQwhkpOPPYv2Y/edit?usp=sharing"",""งบพรบ!DJ87"")"),0)</f>
        <v>0</v>
      </c>
      <c r="N271" s="51">
        <f ca="1">IFERROR(__xludf.DUMMYFUNCTION("IMPORTRANGE(""https://docs.google.com/spreadsheets/d/1-uDff_7J0KD5mKrp0Vvzr7lt3OU09vwQwhkpOPPYv2Y/edit?usp=sharing"",""งบพรบ!DL87"")"),0)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IFERROR(__xludf.DUMMYFUNCTION("IMPORTRANGE(""https://docs.google.com/spreadsheets/d/1-uDff_7J0KD5mKrp0Vvzr7lt3OU09vwQwhkpOPPYv2Y/edit?usp=sharing"",""งบพรบ!DH87"")"),0)</f>
        <v>0</v>
      </c>
      <c r="M274" s="51">
        <f ca="1">IFERROR(__xludf.DUMMYFUNCTION("IMPORTRANGE(""https://docs.google.com/spreadsheets/d/1-uDff_7J0KD5mKrp0Vvzr7lt3OU09vwQwhkpOPPYv2Y/edit?usp=sharing"",""งบพรบ!DK87"")"),0)</f>
        <v>0</v>
      </c>
      <c r="N274" s="51">
        <f ca="1">IFERROR(__xludf.DUMMYFUNCTION("IMPORTRANGE(""https://docs.google.com/spreadsheets/d/1-uDff_7J0KD5mKrp0Vvzr7lt3OU09vwQwhkpOPPYv2Y/edit?usp=sharing"",""งบพรบ!DM87"")"),0)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IFERROR(__xludf.DUMMYFUNCTION("IMPORTRANGE(""https://docs.google.com/spreadsheets/d/1-uDff_7J0KD5mKrp0Vvzr7lt3OU09vwQwhkpOPPYv2Y/edit?usp=sharing"",""งบพรบ!DO87"")"),0)</f>
        <v>0</v>
      </c>
      <c r="M287" s="48">
        <f ca="1">IFERROR(__xludf.DUMMYFUNCTION("IMPORTRANGE(""https://docs.google.com/spreadsheets/d/1-uDff_7J0KD5mKrp0Vvzr7lt3OU09vwQwhkpOPPYv2Y/edit?usp=sharing"",""งบพรบ!DT87"")"),0)</f>
        <v>0</v>
      </c>
      <c r="N287" s="48">
        <f ca="1">IFERROR(__xludf.DUMMYFUNCTION("IMPORTRANGE(""https://docs.google.com/spreadsheets/d/1-uDff_7J0KD5mKrp0Vvzr7lt3OU09vwQwhkpOPPYv2Y/edit?usp=sharing"",""งบพรบ!DV87"")"),0)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IFERROR(__xludf.DUMMYFUNCTION("IMPORTRANGE(""https://docs.google.com/spreadsheets/d/1-uDff_7J0KD5mKrp0Vvzr7lt3OU09vwQwhkpOPPYv2Y/edit?usp=sharing"",""งบพรบ!DR87"")"),0)</f>
        <v>0</v>
      </c>
      <c r="M290" s="48">
        <f ca="1">IFERROR(__xludf.DUMMYFUNCTION("IMPORTRANGE(""https://docs.google.com/spreadsheets/d/1-uDff_7J0KD5mKrp0Vvzr7lt3OU09vwQwhkpOPPYv2Y/edit?usp=sharing"",""งบพรบ!DU87"")"),0)</f>
        <v>0</v>
      </c>
      <c r="N290" s="48">
        <f ca="1">IFERROR(__xludf.DUMMYFUNCTION("IMPORTRANGE(""https://docs.google.com/spreadsheets/d/1-uDff_7J0KD5mKrp0Vvzr7lt3OU09vwQwhkpOPPYv2Y/edit?usp=sharing"",""งบพรบ!DW87"")"),0)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IFERROR(__xludf.DUMMYFUNCTION("IMPORTRANGE(""https://docs.google.com/spreadsheets/d/1eHaY18a8A9IcSdp1K8H6x8fbOy06t2VsZHhMHf-1x7Y/edit?usp=sharing"",""แผน!EE87"")"),0)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IFERROR(__xludf.DUMMYFUNCTION("IMPORTRANGE(""https://docs.google.com/spreadsheets/d/1eHaY18a8A9IcSdp1K8H6x8fbOy06t2VsZHhMHf-1x7Y/edit?usp=sharing"",""แผน!ED87"")"),0)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IFERROR(__xludf.DUMMYFUNCTION("IMPORTRANGE(""https://docs.google.com/spreadsheets/d/1eHaY18a8A9IcSdp1K8H6x8fbOy06t2VsZHhMHf-1x7Y/edit?usp=sharing"",""แผน!ED87"")"),0)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IFERROR(__xludf.DUMMYFUNCTION("IMPORTRANGE(""https://docs.google.com/spreadsheets/d/1eHaY18a8A9IcSdp1K8H6x8fbOy06t2VsZHhMHf-1x7Y/edit?usp=sharing"",""แผน!ED87"")"),0)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IFERROR(__xludf.DUMMYFUNCTION("IMPORTRANGE(""https://docs.google.com/spreadsheets/d/1-uDff_7J0KD5mKrp0Vvzr7lt3OU09vwQwhkpOPPYv2Y/edit?usp=sharing"",""งบพรบ!DY87"")"),0)</f>
        <v>0</v>
      </c>
      <c r="M308" s="48">
        <f ca="1">IFERROR(__xludf.DUMMYFUNCTION("IMPORTRANGE(""https://docs.google.com/spreadsheets/d/1-uDff_7J0KD5mKrp0Vvzr7lt3OU09vwQwhkpOPPYv2Y/edit?usp=sharing"",""งบพรบ!ED87"")"),0)</f>
        <v>0</v>
      </c>
      <c r="N308" s="48">
        <f ca="1">IFERROR(__xludf.DUMMYFUNCTION("IMPORTRANGE(""https://docs.google.com/spreadsheets/d/1-uDff_7J0KD5mKrp0Vvzr7lt3OU09vwQwhkpOPPYv2Y/edit?usp=sharing"",""งบพรบ!EF87"")"),0)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IFERROR(__xludf.DUMMYFUNCTION("IMPORTRANGE(""https://docs.google.com/spreadsheets/d/1-uDff_7J0KD5mKrp0Vvzr7lt3OU09vwQwhkpOPPYv2Y/edit?usp=sharing"",""งบพรบ!EB87"")"),0)</f>
        <v>0</v>
      </c>
      <c r="M311" s="48">
        <f ca="1">IFERROR(__xludf.DUMMYFUNCTION("IMPORTRANGE(""https://docs.google.com/spreadsheets/d/1-uDff_7J0KD5mKrp0Vvzr7lt3OU09vwQwhkpOPPYv2Y/edit?usp=sharing"",""งบพรบ!EE87"")"),0)</f>
        <v>0</v>
      </c>
      <c r="N311" s="48">
        <f ca="1">IFERROR(__xludf.DUMMYFUNCTION("IMPORTRANGE(""https://docs.google.com/spreadsheets/d/1-uDff_7J0KD5mKrp0Vvzr7lt3OU09vwQwhkpOPPYv2Y/edit?usp=sharing"",""งบพรบ!EG87"")"),0)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IFERROR(__xludf.DUMMYFUNCTION("IMPORTRANGE(""https://docs.google.com/spreadsheets/d/1eHaY18a8A9IcSdp1K8H6x8fbOy06t2VsZHhMHf-1x7Y/edit?usp=sharing"",""แผน!EF87"")"),0)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IFERROR(__xludf.DUMMYFUNCTION("IMPORTRANGE(""https://docs.google.com/spreadsheets/d/1eHaY18a8A9IcSdp1K8H6x8fbOy06t2VsZHhMHf-1x7Y/edit?usp=sharing"",""แผน!EG87"")"),0)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IFERROR(__xludf.DUMMYFUNCTION("IMPORTRANGE(""https://docs.google.com/spreadsheets/d/1eHaY18a8A9IcSdp1K8H6x8fbOy06t2VsZHhMHf-1x7Y/edit?usp=sharing"",""แผน!EH87"")"),0)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IFERROR(__xludf.DUMMYFUNCTION("IMPORTRANGE(""https://docs.google.com/spreadsheets/d/1eHaY18a8A9IcSdp1K8H6x8fbOy06t2VsZHhMHf-1x7Y/edit?usp=sharing"",""แผน!EI87"")"),0)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hidden="1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IFERROR(__xludf.DUMMYFUNCTION("IMPORTRANGE(""https://docs.google.com/spreadsheets/d/1-uDff_7J0KD5mKrp0Vvzr7lt3OU09vwQwhkpOPPYv2Y/edit?usp=sharing"",""งบพรบ!EI87"")"),0)</f>
        <v>0</v>
      </c>
      <c r="M325" s="48">
        <f ca="1">IFERROR(__xludf.DUMMYFUNCTION("IMPORTRANGE(""https://docs.google.com/spreadsheets/d/1-uDff_7J0KD5mKrp0Vvzr7lt3OU09vwQwhkpOPPYv2Y/edit?usp=sharing"",""งบพรบ!EN87"")"),0)</f>
        <v>0</v>
      </c>
      <c r="N325" s="48">
        <f ca="1">IFERROR(__xludf.DUMMYFUNCTION("IMPORTRANGE(""https://docs.google.com/spreadsheets/d/1-uDff_7J0KD5mKrp0Vvzr7lt3OU09vwQwhkpOPPYv2Y/edit?usp=sharing"",""งบพรบ!EP87"")"),0)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IFERROR(__xludf.DUMMYFUNCTION("IMPORTRANGE(""https://docs.google.com/spreadsheets/d/1-uDff_7J0KD5mKrp0Vvzr7lt3OU09vwQwhkpOPPYv2Y/edit?usp=sharing"",""งบพรบ!EL87"")"),0)</f>
        <v>0</v>
      </c>
      <c r="M328" s="48">
        <f ca="1">IFERROR(__xludf.DUMMYFUNCTION("IMPORTRANGE(""https://docs.google.com/spreadsheets/d/1-uDff_7J0KD5mKrp0Vvzr7lt3OU09vwQwhkpOPPYv2Y/edit?usp=sharing"",""งบพรบ!EO87"")"),0)</f>
        <v>0</v>
      </c>
      <c r="N328" s="48">
        <f ca="1">IFERROR(__xludf.DUMMYFUNCTION("IMPORTRANGE(""https://docs.google.com/spreadsheets/d/1-uDff_7J0KD5mKrp0Vvzr7lt3OU09vwQwhkpOPPYv2Y/edit?usp=sharing"",""งบพรบ!EQ87"")"),0)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IFERROR(__xludf.DUMMYFUNCTION("IMPORTRANGE(""https://docs.google.com/spreadsheets/d/1eHaY18a8A9IcSdp1K8H6x8fbOy06t2VsZHhMHf-1x7Y/edit?usp=sharing"",""แผน!EJ87"")"),0)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140</v>
      </c>
      <c r="J332" s="352">
        <f ca="1">J344+J347+J348+J349+J353</f>
        <v>152</v>
      </c>
      <c r="K332" s="353">
        <f ca="1">IF(I332&gt;0,J332*100/I332,0)</f>
        <v>108.57142857142857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216600</v>
      </c>
      <c r="M333" s="141">
        <f ca="1">M334+M335</f>
        <v>163350</v>
      </c>
      <c r="N333" s="141">
        <f ca="1">N334+N335</f>
        <v>23112</v>
      </c>
      <c r="O333" s="141">
        <f ca="1">IF(L333&gt;0,N333*100/L333,0)</f>
        <v>10.670360110803324</v>
      </c>
      <c r="P333" s="141">
        <f ca="1">IF(M333&gt;0,N333*100/M333,0)</f>
        <v>14.148760330578513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216600</v>
      </c>
      <c r="M335" s="48">
        <f ca="1">M338+M341</f>
        <v>163350</v>
      </c>
      <c r="N335" s="48">
        <f ca="1">N338+N341</f>
        <v>23112</v>
      </c>
      <c r="O335" s="48">
        <f ca="1">IF(L335&gt;0,N335*100/L335,0)</f>
        <v>10.670360110803324</v>
      </c>
      <c r="P335" s="48">
        <f ca="1">IF(M335&gt;0,N335*100/M335,0)</f>
        <v>14.148760330578513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216600</v>
      </c>
      <c r="M336" s="48">
        <f ca="1">M337+M338</f>
        <v>163350</v>
      </c>
      <c r="N336" s="48">
        <f ca="1">N337+N338</f>
        <v>23112</v>
      </c>
      <c r="O336" s="48">
        <f ca="1">IF(L336&gt;0,N336*100/L336,0)</f>
        <v>10.670360110803324</v>
      </c>
      <c r="P336" s="48">
        <f ca="1">IF(M336&gt;0,N336*100/M336,0)</f>
        <v>14.148760330578513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IFERROR(__xludf.DUMMYFUNCTION("IMPORTRANGE(""https://docs.google.com/spreadsheets/d/1-uDff_7J0KD5mKrp0Vvzr7lt3OU09vwQwhkpOPPYv2Y/edit?usp=sharing"",""งบพรบ!ES87"")"),216600)</f>
        <v>216600</v>
      </c>
      <c r="M338" s="48">
        <f ca="1">IFERROR(__xludf.DUMMYFUNCTION("IMPORTRANGE(""https://docs.google.com/spreadsheets/d/1-uDff_7J0KD5mKrp0Vvzr7lt3OU09vwQwhkpOPPYv2Y/edit?usp=sharing"",""งบพรบ!EX87"")"),163350)</f>
        <v>163350</v>
      </c>
      <c r="N338" s="48">
        <f ca="1">IFERROR(__xludf.DUMMYFUNCTION("IMPORTRANGE(""https://docs.google.com/spreadsheets/d/1-uDff_7J0KD5mKrp0Vvzr7lt3OU09vwQwhkpOPPYv2Y/edit?usp=sharing"",""งบพรบ!EZ87"")"),23112)</f>
        <v>23112</v>
      </c>
      <c r="O338" s="48">
        <f ca="1">IF(L338&gt;0,N338*100/L338,0)</f>
        <v>10.670360110803324</v>
      </c>
      <c r="P338" s="48">
        <f ca="1">IF(M338&gt;0,N338*100/M338,0)</f>
        <v>14.148760330578513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IFERROR(__xludf.DUMMYFUNCTION("IMPORTRANGE(""https://docs.google.com/spreadsheets/d/1-uDff_7J0KD5mKrp0Vvzr7lt3OU09vwQwhkpOPPYv2Y/edit?usp=sharing"",""งบพรบ!EV87"")"),0)</f>
        <v>0</v>
      </c>
      <c r="M341" s="48">
        <f ca="1">IFERROR(__xludf.DUMMYFUNCTION("IMPORTRANGE(""https://docs.google.com/spreadsheets/d/1-uDff_7J0KD5mKrp0Vvzr7lt3OU09vwQwhkpOPPYv2Y/edit?usp=sharing"",""งบพรบ!EY87"")"),0)</f>
        <v>0</v>
      </c>
      <c r="N341" s="48">
        <f ca="1">IFERROR(__xludf.DUMMYFUNCTION("IMPORTRANGE(""https://docs.google.com/spreadsheets/d/1-uDff_7J0KD5mKrp0Vvzr7lt3OU09vwQwhkpOPPYv2Y/edit?usp=sharing"",""งบพรบ!FA87"")"),0)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0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IFERROR(__xludf.DUMMYFUNCTION("IMPORTRANGE(""https://docs.google.com/spreadsheets/d/1eHaY18a8A9IcSdp1K8H6x8fbOy06t2VsZHhMHf-1x7Y/edit?usp=sharing"",""แผน!EK87"")"),140)</f>
        <v>140</v>
      </c>
      <c r="J344" s="170">
        <f ca="1">IFERROR(__xludf.DUMMYFUNCTION("IMPORTRANGE(""https://docs.google.com/spreadsheets/d/1awYsYK3VOup2i3Pq_Yjnu8DRu_mYwSBnCR2QPthd0rU/edit?usp=sharing"",""ศูนย์ยกเว้นโฉนด!D87"")"),0)</f>
        <v>0</v>
      </c>
      <c r="K344" s="48">
        <f ca="1">IF(I344&gt;0,J344*100/I344,0)</f>
        <v>0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IFERROR(__xludf.DUMMYFUNCTION("IMPORTRANGE(""https://docs.google.com/spreadsheets/d/1eHaY18a8A9IcSdp1K8H6x8fbOy06t2VsZHhMHf-1x7Y/edit?usp=sharing"",""แผน!EL87"")"),1)</f>
        <v>1</v>
      </c>
      <c r="J346" s="170">
        <f ca="1">IFERROR(__xludf.DUMMYFUNCTION("IMPORTRANGE(""https://docs.google.com/spreadsheets/d/1awYsYK3VOup2i3Pq_Yjnu8DRu_mYwSBnCR2QPthd0rU/edit?usp=sharing"",""ศูนย์รวม!E87"")"),2)</f>
        <v>2</v>
      </c>
      <c r="K346" s="48">
        <f ca="1">IF(I346&gt;0,J346*100/I346,0)</f>
        <v>200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IFERROR(__xludf.DUMMYFUNCTION("IMPORTRANGE(""https://docs.google.com/spreadsheets/d/1awYsYK3VOup2i3Pq_Yjnu8DRu_mYwSBnCR2QPthd0rU/edit?usp=sharing"",""ศูนย์ยกเว้นโฉนด!F87"")"),0)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IFERROR(__xludf.DUMMYFUNCTION("IMPORTRANGE(""https://docs.google.com/spreadsheets/d/1awYsYK3VOup2i3Pq_Yjnu8DRu_mYwSBnCR2QPthd0rU/edit?usp=sharing"",""ศูนย์ยกเว้นโฉนด!G87"")"),0)</f>
        <v>0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IFERROR(__xludf.DUMMYFUNCTION("IMPORTRANGE(""https://docs.google.com/spreadsheets/d/1awYsYK3VOup2i3Pq_Yjnu8DRu_mYwSBnCR2QPthd0rU/edit?usp=sharing"",""ศูนย์ยกเว้นโฉนด!H87"")"),0)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186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IFERROR(__xludf.DUMMYFUNCTION("IMPORTRANGE(""https://docs.google.com/spreadsheets/d/1awYsYK3VOup2i3Pq_Yjnu8DRu_mYwSBnCR2QPthd0rU/edit?usp=sharing"",""โฉนดM3!G87"")"),34)</f>
        <v>34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IFERROR(__xludf.DUMMYFUNCTION("IMPORTRANGE(""https://docs.google.com/spreadsheets/d/1awYsYK3VOup2i3Pq_Yjnu8DRu_mYwSBnCR2QPthd0rU/edit?usp=sharing"",""โฉนดM3!H87"")"),152)</f>
        <v>152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142885</v>
      </c>
      <c r="M356" s="141">
        <f ca="1">M357+M358</f>
        <v>116885</v>
      </c>
      <c r="N356" s="141">
        <f ca="1">N357+N358</f>
        <v>10880</v>
      </c>
      <c r="O356" s="141">
        <f ca="1">IF(L356&gt;0,N356*100/L356,0)</f>
        <v>7.6145151695419395</v>
      </c>
      <c r="P356" s="141">
        <f ca="1">IF(M356&gt;0,N356*100/M356,0)</f>
        <v>9.3082944774778635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142885</v>
      </c>
      <c r="M358" s="48">
        <f ca="1">M361+M364</f>
        <v>116885</v>
      </c>
      <c r="N358" s="48">
        <f ca="1">N361+N364</f>
        <v>10880</v>
      </c>
      <c r="O358" s="48">
        <f ca="1">IF(L358&gt;0,N358*100/L358,0)</f>
        <v>7.6145151695419395</v>
      </c>
      <c r="P358" s="48">
        <f ca="1">IF(M358&gt;0,N358*100/M358,0)</f>
        <v>9.3082944774778635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142885</v>
      </c>
      <c r="M359" s="48">
        <f ca="1">M360+M361</f>
        <v>116885</v>
      </c>
      <c r="N359" s="48">
        <f ca="1">N360+N361</f>
        <v>10880</v>
      </c>
      <c r="O359" s="48">
        <f ca="1">IF(L359&gt;0,N359*100/L359,0)</f>
        <v>7.6145151695419395</v>
      </c>
      <c r="P359" s="48">
        <f ca="1">IF(M359&gt;0,N359*100/M359,0)</f>
        <v>9.3082944774778635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IFERROR(__xludf.DUMMYFUNCTION("IMPORTRANGE(""https://docs.google.com/spreadsheets/d/1-uDff_7J0KD5mKrp0Vvzr7lt3OU09vwQwhkpOPPYv2Y/edit?usp=sharing"",""งบพรบ!FC87"")"),142885)</f>
        <v>142885</v>
      </c>
      <c r="M361" s="48">
        <f ca="1">IFERROR(__xludf.DUMMYFUNCTION("IMPORTRANGE(""https://docs.google.com/spreadsheets/d/1-uDff_7J0KD5mKrp0Vvzr7lt3OU09vwQwhkpOPPYv2Y/edit?usp=sharing"",""งบพรบ!FH87"")"),116885)</f>
        <v>116885</v>
      </c>
      <c r="N361" s="48">
        <f ca="1">IFERROR(__xludf.DUMMYFUNCTION("IMPORTRANGE(""https://docs.google.com/spreadsheets/d/1-uDff_7J0KD5mKrp0Vvzr7lt3OU09vwQwhkpOPPYv2Y/edit?usp=sharing"",""งบพรบ!FJ87"")"),10880)</f>
        <v>10880</v>
      </c>
      <c r="O361" s="48">
        <f ca="1">IF(L361&gt;0,N361*100/L361,0)</f>
        <v>7.6145151695419395</v>
      </c>
      <c r="P361" s="48">
        <f ca="1">IF(M361&gt;0,N361*100/M361,0)</f>
        <v>9.3082944774778635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IFERROR(__xludf.DUMMYFUNCTION("IMPORTRANGE(""https://docs.google.com/spreadsheets/d/1-uDff_7J0KD5mKrp0Vvzr7lt3OU09vwQwhkpOPPYv2Y/edit?usp=sharing"",""งบพรบ!FF87"")"),0)</f>
        <v>0</v>
      </c>
      <c r="M364" s="48">
        <f ca="1">IFERROR(__xludf.DUMMYFUNCTION("IMPORTRANGE(""https://docs.google.com/spreadsheets/d/1-uDff_7J0KD5mKrp0Vvzr7lt3OU09vwQwhkpOPPYv2Y/edit?usp=sharing"",""งบพรบ!FI87"")"),0)</f>
        <v>0</v>
      </c>
      <c r="N364" s="48">
        <f ca="1">IFERROR(__xludf.DUMMYFUNCTION("IMPORTRANGE(""https://docs.google.com/spreadsheets/d/1-uDff_7J0KD5mKrp0Vvzr7lt3OU09vwQwhkpOPPYv2Y/edit?usp=sharing"",""งบพรบ!FK87"")"),0)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28</v>
      </c>
      <c r="J365" s="240">
        <f ca="1">J371</f>
        <v>0</v>
      </c>
      <c r="K365" s="241">
        <f ca="1">IF(I365&gt;0,J365*100/I365,0)</f>
        <v>0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IFERROR(__xludf.DUMMYFUNCTION("IMPORTRANGE(""https://docs.google.com/spreadsheets/d/1tdoBKaGub7dwA3U6UFTqxio9LNnvDCQjHKmttSEBsFQ/edit?usp=sharing"",""จัดที่ดิน!AB87"")"),0)</f>
        <v>0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IFERROR(__xludf.DUMMYFUNCTION("IMPORTRANGE(""https://docs.google.com/spreadsheets/d/1eHaY18a8A9IcSdp1K8H6x8fbOy06t2VsZHhMHf-1x7Y/edit?usp=sharing"",""แผน!EW87"")"),265)</f>
        <v>265</v>
      </c>
      <c r="J368" s="368">
        <f ca="1">IFERROR(__xludf.DUMMYFUNCTION("IMPORTRANGE(""https://docs.google.com/spreadsheets/d/1tdoBKaGub7dwA3U6UFTqxio9LNnvDCQjHKmttSEBsFQ/edit?usp=sharing"",""จัดที่ดิน!AC87"")"),0)</f>
        <v>0</v>
      </c>
      <c r="K368" s="48">
        <f ca="1">IF(I368&gt;0,J368*100/I368,0)</f>
        <v>0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IFERROR(__xludf.DUMMYFUNCTION("IMPORTRANGE(""https://docs.google.com/spreadsheets/d/1eHaY18a8A9IcSdp1K8H6x8fbOy06t2VsZHhMHf-1x7Y/edit?usp=sharing"",""แผน!EX87"")"),38)</f>
        <v>38</v>
      </c>
      <c r="J369" s="170">
        <f ca="1">IFERROR(__xludf.DUMMYFUNCTION("IMPORTRANGE(""https://docs.google.com/spreadsheets/d/1tdoBKaGub7dwA3U6UFTqxio9LNnvDCQjHKmttSEBsFQ/edit?usp=sharing"",""จัดที่ดิน!AD87"")"),0)</f>
        <v>0</v>
      </c>
      <c r="K369" s="48">
        <f ca="1">IF(I369&gt;0,J369*100/I369,0)</f>
        <v>0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IFERROR(__xludf.DUMMYFUNCTION("IMPORTRANGE(""https://docs.google.com/spreadsheets/d/1tdoBKaGub7dwA3U6UFTqxio9LNnvDCQjHKmttSEBsFQ/edit?usp=sharing"",""จัดที่ดิน!AE87"")"),0)</f>
        <v>0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IFERROR(__xludf.DUMMYFUNCTION("IMPORTRANGE(""https://docs.google.com/spreadsheets/d/1eHaY18a8A9IcSdp1K8H6x8fbOy06t2VsZHhMHf-1x7Y/edit?usp=sharing"",""แผน!EY87"")"),28)</f>
        <v>28</v>
      </c>
      <c r="J371" s="170">
        <f ca="1">IFERROR(__xludf.DUMMYFUNCTION("IMPORTRANGE(""https://docs.google.com/spreadsheets/d/1tdoBKaGub7dwA3U6UFTqxio9LNnvDCQjHKmttSEBsFQ/edit?usp=sharing"",""จัดที่ดิน!AF87"")"),0)</f>
        <v>0</v>
      </c>
      <c r="K371" s="48">
        <f ca="1">IF(I371&gt;0,J371*100/I371,0)</f>
        <v>0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IFERROR(__xludf.DUMMYFUNCTION("IMPORTRANGE(""https://docs.google.com/spreadsheets/d/1tdoBKaGub7dwA3U6UFTqxio9LNnvDCQjHKmttSEBsFQ/edit?usp=sharing"",""จัดที่ดิน!AG87"")"),0)</f>
        <v>0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IFERROR(__xludf.DUMMYFUNCTION("IMPORTRANGE(""https://docs.google.com/spreadsheets/d/1-uDff_7J0KD5mKrp0Vvzr7lt3OU09vwQwhkpOPPYv2Y/edit?usp=sharing"",""งบพรบ!FM87"")"),0)</f>
        <v>0</v>
      </c>
      <c r="M382" s="51">
        <f ca="1">IFERROR(__xludf.DUMMYFUNCTION("IMPORTRANGE(""https://docs.google.com/spreadsheets/d/1-uDff_7J0KD5mKrp0Vvzr7lt3OU09vwQwhkpOPPYv2Y/edit?usp=sharing"",""งบพรบ!FR87"")"),0)</f>
        <v>0</v>
      </c>
      <c r="N382" s="51">
        <f ca="1">IFERROR(__xludf.DUMMYFUNCTION("IMPORTRANGE(""https://docs.google.com/spreadsheets/d/1-uDff_7J0KD5mKrp0Vvzr7lt3OU09vwQwhkpOPPYv2Y/edit?usp=sharing"",""งบพรบ!FT87"")"),0)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IFERROR(__xludf.DUMMYFUNCTION("IMPORTRANGE(""https://docs.google.com/spreadsheets/d/1-uDff_7J0KD5mKrp0Vvzr7lt3OU09vwQwhkpOPPYv2Y/edit?usp=sharing"",""งบพรบ!FP87"")"),0)</f>
        <v>0</v>
      </c>
      <c r="M385" s="51">
        <f ca="1">IFERROR(__xludf.DUMMYFUNCTION("IMPORTRANGE(""https://docs.google.com/spreadsheets/d/1-uDff_7J0KD5mKrp0Vvzr7lt3OU09vwQwhkpOPPYv2Y/edit?usp=sharing"",""งบพรบ!FS87"")"),0)</f>
        <v>0</v>
      </c>
      <c r="N385" s="51">
        <f ca="1">IFERROR(__xludf.DUMMYFUNCTION("IMPORTRANGE(""https://docs.google.com/spreadsheets/d/1-uDff_7J0KD5mKrp0Vvzr7lt3OU09vwQwhkpOPPYv2Y/edit?usp=sharing"",""งบพรบ!FU87"")"),0)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4" orientation="portrait" r:id="rId1"/>
  <headerFooter>
    <oddFooter>&amp;Cหน้า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0B80F-57B1-4765-89C6-9F4C069DE70B}">
  <sheetPr>
    <outlinePr summaryBelow="0" summaryRight="0"/>
  </sheetPr>
  <dimension ref="A1:P391"/>
  <sheetViews>
    <sheetView tabSelected="1" view="pageBreakPreview" zoomScale="60" zoomScaleNormal="55" workbookViewId="0">
      <pane xSplit="8" ySplit="6" topLeftCell="I339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5" bestFit="1" customWidth="1"/>
    <col min="11" max="11" width="12.28515625" bestFit="1" customWidth="1"/>
    <col min="12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168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2453398</v>
      </c>
      <c r="M18" s="34">
        <f ca="1">M19+M20</f>
        <v>2025662</v>
      </c>
      <c r="N18" s="34">
        <f ca="1">N19+N20</f>
        <v>559494.44999999995</v>
      </c>
      <c r="O18" s="34">
        <f ca="1">IF(L18&gt;0,N18*100/L18,0)</f>
        <v>22.804879192043032</v>
      </c>
      <c r="P18" s="34">
        <f ca="1">IF(M18&gt;0,N18*100/M18,0)</f>
        <v>27.620326095863966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2453398</v>
      </c>
      <c r="M20" s="40">
        <f ca="1">M23+M26</f>
        <v>2025662</v>
      </c>
      <c r="N20" s="40">
        <f ca="1">N23+N26</f>
        <v>559494.44999999995</v>
      </c>
      <c r="O20" s="40">
        <f ca="1">IF(L20&gt;0,N20*100/L20,0)</f>
        <v>22.804879192043032</v>
      </c>
      <c r="P20" s="40">
        <f ca="1">IF(M20&gt;0,N20*100/M20,0)</f>
        <v>27.620326095863966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2453398</v>
      </c>
      <c r="M21" s="48">
        <f ca="1">M22+M23</f>
        <v>2025662</v>
      </c>
      <c r="N21" s="48">
        <f ca="1">N22+N23</f>
        <v>559494.44999999995</v>
      </c>
      <c r="O21" s="48">
        <f ca="1">IF(L21&gt;0,N21*100/L21,0)</f>
        <v>22.804879192043032</v>
      </c>
      <c r="P21" s="48">
        <f ca="1">IF(M21&gt;0,N21*100/M21,0)</f>
        <v>27.620326095863966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2453398</v>
      </c>
      <c r="M23" s="48">
        <f ca="1">M49+M64+M77+M99+M130+M144+M162+M191+M178+M271+M287+M308+M325+M338+M361+M382</f>
        <v>2025662</v>
      </c>
      <c r="N23" s="48">
        <f ca="1">N49+N64+N77+N99+N130+N144+N162+N191+N178+N271+N287+N308+N325+N338+N361+N382</f>
        <v>559494.44999999995</v>
      </c>
      <c r="O23" s="48">
        <f ca="1">IF(L23&gt;0,N23*100/L23,0)</f>
        <v>22.804879192043032</v>
      </c>
      <c r="P23" s="48">
        <f ca="1">IF(M23&gt;0,N23*100/M23,0)</f>
        <v>27.620326095863966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2453398</v>
      </c>
      <c r="M40" s="65">
        <f ca="1">M44+M59+M72+M94+M125+M139+M157+M173+M186+M266+M282+M303+M320+M333+M356</f>
        <v>2025662</v>
      </c>
      <c r="N40" s="65">
        <f ca="1">N44+N59+N72+N94+N125+N139+N157+N173+N186+N266+N282+N303+N320+N333+N356</f>
        <v>559494.44999999995</v>
      </c>
      <c r="O40" s="65">
        <f ca="1">IF(L40&gt;0,N40*100/L40,0)</f>
        <v>22.804879192043032</v>
      </c>
      <c r="P40" s="65">
        <f ca="1">IF(M40&gt;0,N40*100/M40,0)</f>
        <v>27.620326095863966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455288</v>
      </c>
      <c r="M44" s="84">
        <f ca="1">M45+M46</f>
        <v>455342</v>
      </c>
      <c r="N44" s="84">
        <f ca="1">N45+N46</f>
        <v>154828</v>
      </c>
      <c r="O44" s="84">
        <f ca="1">IF(L44&gt;0,N44*100/L44,0)</f>
        <v>34.006606807119887</v>
      </c>
      <c r="P44" s="84">
        <f ca="1">IF(M44&gt;0,N44*100/M44,0)</f>
        <v>34.002573889516015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455288</v>
      </c>
      <c r="M46" s="90">
        <f ca="1">M49+M52</f>
        <v>455342</v>
      </c>
      <c r="N46" s="90">
        <f ca="1">N49+N52</f>
        <v>154828</v>
      </c>
      <c r="O46" s="90">
        <f ca="1">IF(L46&gt;0,N46*100/L46,0)</f>
        <v>34.006606807119887</v>
      </c>
      <c r="P46" s="90">
        <f ca="1">IF(M46&gt;0,N46*100/M46,0)</f>
        <v>34.002573889516015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455288</v>
      </c>
      <c r="M47" s="48">
        <f ca="1">M48+M49</f>
        <v>455342</v>
      </c>
      <c r="N47" s="48">
        <f ca="1">N48+N49</f>
        <v>154828</v>
      </c>
      <c r="O47" s="48">
        <f ca="1">IF(L47&gt;0,N47*100/L47,0)</f>
        <v>34.006606807119887</v>
      </c>
      <c r="P47" s="48">
        <f ca="1">IF(M47&gt;0,N47*100/M47,0)</f>
        <v>34.002573889516015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IFERROR(__xludf.DUMMYFUNCTION("IMPORTRANGE(""https://docs.google.com/spreadsheets/d/1-uDff_7J0KD5mKrp0Vvzr7lt3OU09vwQwhkpOPPYv2Y/edit?usp=sharing"",""งบพรบ!P88"")"),455288)</f>
        <v>455288</v>
      </c>
      <c r="M49" s="48">
        <f ca="1">IFERROR(__xludf.DUMMYFUNCTION("IMPORTRANGE(""https://docs.google.com/spreadsheets/d/1-uDff_7J0KD5mKrp0Vvzr7lt3OU09vwQwhkpOPPYv2Y/edit?usp=sharing"",""งบพรบ!V88"")"),455342)</f>
        <v>455342</v>
      </c>
      <c r="N49" s="48">
        <f ca="1">IFERROR(__xludf.DUMMYFUNCTION("IMPORTRANGE(""https://docs.google.com/spreadsheets/d/1-uDff_7J0KD5mKrp0Vvzr7lt3OU09vwQwhkpOPPYv2Y/edit?usp=sharing"",""งบพรบ!Y88"")"),154828)</f>
        <v>154828</v>
      </c>
      <c r="O49" s="48">
        <f ca="1">IF(L49&gt;0,N49*100/L49,0)</f>
        <v>34.006606807119887</v>
      </c>
      <c r="P49" s="48">
        <f ca="1">IF(M49&gt;0,N49*100/M49,0)</f>
        <v>34.002573889516015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IFERROR(__xludf.DUMMYFUNCTION("IMPORTRANGE(""https://docs.google.com/spreadsheets/d/1-uDff_7J0KD5mKrp0Vvzr7lt3OU09vwQwhkpOPPYv2Y/edit?usp=sharing"",""งบพรบ!S88"")"),0)</f>
        <v>0</v>
      </c>
      <c r="M52" s="48">
        <f ca="1">IFERROR(__xludf.DUMMYFUNCTION("IMPORTRANGE(""https://docs.google.com/spreadsheets/d/1-uDff_7J0KD5mKrp0Vvzr7lt3OU09vwQwhkpOPPYv2Y/edit?usp=sharing"",""งบพรบ!W88"")"),0)</f>
        <v>0</v>
      </c>
      <c r="N52" s="48">
        <f ca="1">IFERROR(__xludf.DUMMYFUNCTION("IMPORTRANGE(""https://docs.google.com/spreadsheets/d/1-uDff_7J0KD5mKrp0Vvzr7lt3OU09vwQwhkpOPPYv2Y/edit?usp=sharing"",""งบพรบ!Z88"")"),0)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363900</v>
      </c>
      <c r="M59" s="113">
        <f ca="1">M60+M61</f>
        <v>275200</v>
      </c>
      <c r="N59" s="113">
        <f ca="1">N60+N61</f>
        <v>106994.66</v>
      </c>
      <c r="O59" s="113">
        <f ca="1">IF(L59&gt;0,N59*100/L59,0)</f>
        <v>29.402214894201705</v>
      </c>
      <c r="P59" s="113">
        <f ca="1">IF(M59&gt;0,N59*100/M59,0)</f>
        <v>38.878873546511628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363900</v>
      </c>
      <c r="M61" s="119">
        <f ca="1">M64+M67</f>
        <v>275200</v>
      </c>
      <c r="N61" s="119">
        <f ca="1">N64+N67</f>
        <v>106994.66</v>
      </c>
      <c r="O61" s="119">
        <f ca="1">IF(L61&gt;0,N61*100/L61,0)</f>
        <v>29.402214894201705</v>
      </c>
      <c r="P61" s="119">
        <f ca="1">IF(M61&gt;0,N61*100/M61,0)</f>
        <v>38.878873546511628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363900</v>
      </c>
      <c r="M62" s="48">
        <f ca="1">M63+M64</f>
        <v>275200</v>
      </c>
      <c r="N62" s="48">
        <f ca="1">N63+N64</f>
        <v>106994.66</v>
      </c>
      <c r="O62" s="48">
        <f ca="1">IF(L62&gt;0,N62*100/L62,0)</f>
        <v>29.402214894201705</v>
      </c>
      <c r="P62" s="48">
        <f ca="1">IF(M62&gt;0,N62*100/M62,0)</f>
        <v>38.878873546511628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IFERROR(__xludf.DUMMYFUNCTION("IMPORTRANGE(""https://docs.google.com/spreadsheets/d/1-uDff_7J0KD5mKrp0Vvzr7lt3OU09vwQwhkpOPPYv2Y/edit?usp=sharing"",""งบพรบ!AC88"")"),363900)</f>
        <v>363900</v>
      </c>
      <c r="M64" s="48">
        <f ca="1">IFERROR(__xludf.DUMMYFUNCTION("IMPORTRANGE(""https://docs.google.com/spreadsheets/d/1-uDff_7J0KD5mKrp0Vvzr7lt3OU09vwQwhkpOPPYv2Y/edit?usp=sharing"",""งบพรบ!AH88"")"),275200)</f>
        <v>275200</v>
      </c>
      <c r="N64" s="48">
        <f ca="1">IFERROR(__xludf.DUMMYFUNCTION("IMPORTRANGE(""https://docs.google.com/spreadsheets/d/1-uDff_7J0KD5mKrp0Vvzr7lt3OU09vwQwhkpOPPYv2Y/edit?usp=sharing"",""งบพรบ!AJ88"")"),106994.66)</f>
        <v>106994.66</v>
      </c>
      <c r="O64" s="48">
        <f ca="1">IF(L64&gt;0,N64*100/L64,0)</f>
        <v>29.402214894201705</v>
      </c>
      <c r="P64" s="48">
        <f ca="1">IF(M64&gt;0,N64*100/M64,0)</f>
        <v>38.878873546511628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IFERROR(__xludf.DUMMYFUNCTION("IMPORTRANGE(""https://docs.google.com/spreadsheets/d/1-uDff_7J0KD5mKrp0Vvzr7lt3OU09vwQwhkpOPPYv2Y/edit?usp=sharing"",""งบพรบ!AF88"")"),0)</f>
        <v>0</v>
      </c>
      <c r="M67" s="59">
        <f ca="1">IFERROR(__xludf.DUMMYFUNCTION("IMPORTRANGE(""https://docs.google.com/spreadsheets/d/1-uDff_7J0KD5mKrp0Vvzr7lt3OU09vwQwhkpOPPYv2Y/edit?usp=sharing"",""งบพรบ!AI88"")"),0)</f>
        <v>0</v>
      </c>
      <c r="N67" s="59">
        <f ca="1">IFERROR(__xludf.DUMMYFUNCTION("IMPORTRANGE(""https://docs.google.com/spreadsheets/d/1-uDff_7J0KD5mKrp0Vvzr7lt3OU09vwQwhkpOPPYv2Y/edit?usp=sharing"",""งบพรบ!AK88"")"),0)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IFERROR(__xludf.DUMMYFUNCTION("IMPORTRANGE(""https://docs.google.com/spreadsheets/d/1-uDff_7J0KD5mKrp0Vvzr7lt3OU09vwQwhkpOPPYv2Y/edit?usp=sharing"",""งบพรบ!AM88"")"),0)</f>
        <v>0</v>
      </c>
      <c r="M77" s="48">
        <f ca="1">IFERROR(__xludf.DUMMYFUNCTION("IMPORTRANGE(""https://docs.google.com/spreadsheets/d/1-uDff_7J0KD5mKrp0Vvzr7lt3OU09vwQwhkpOPPYv2Y/edit?usp=sharing"",""งบพรบ!AR88"")"),0)</f>
        <v>0</v>
      </c>
      <c r="N77" s="48">
        <f ca="1">IFERROR(__xludf.DUMMYFUNCTION("IMPORTRANGE(""https://docs.google.com/spreadsheets/d/1-uDff_7J0KD5mKrp0Vvzr7lt3OU09vwQwhkpOPPYv2Y/edit?usp=sharing"",""งบพรบ!AT88"")"),0)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IFERROR(__xludf.DUMMYFUNCTION("IMPORTRANGE(""https://docs.google.com/spreadsheets/d/1-uDff_7J0KD5mKrp0Vvzr7lt3OU09vwQwhkpOPPYv2Y/edit?usp=sharing"",""งบพรบ!AP88"")"),0)</f>
        <v>0</v>
      </c>
      <c r="M80" s="48">
        <f ca="1">IFERROR(__xludf.DUMMYFUNCTION("IMPORTRANGE(""https://docs.google.com/spreadsheets/d/1-uDff_7J0KD5mKrp0Vvzr7lt3OU09vwQwhkpOPPYv2Y/edit?usp=sharing"",""งบพรบ!AS88"")"),0)</f>
        <v>0</v>
      </c>
      <c r="N80" s="48">
        <f ca="1">IFERROR(__xludf.DUMMYFUNCTION("IMPORTRANGE(""https://docs.google.com/spreadsheets/d/1-uDff_7J0KD5mKrp0Vvzr7lt3OU09vwQwhkpOPPYv2Y/edit?usp=sharing"",""งบพรบ!AU88"")"),0)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IFERROR(__xludf.DUMMYFUNCTION("IMPORTRANGE(""https://docs.google.com/spreadsheets/d/1eHaY18a8A9IcSdp1K8H6x8fbOy06t2VsZHhMHf-1x7Y/edit?usp=sharing"",""แผน!H88"")"),0)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IFERROR(__xludf.DUMMYFUNCTION("IMPORTRANGE(""https://docs.google.com/spreadsheets/d/1eHaY18a8A9IcSdp1K8H6x8fbOy06t2VsZHhMHf-1x7Y/edit?usp=sharing"",""แผน!I88"")"),0)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IFERROR(__xludf.DUMMYFUNCTION("IMPORTRANGE(""https://docs.google.com/spreadsheets/d/1eHaY18a8A9IcSdp1K8H6x8fbOy06t2VsZHhMHf-1x7Y/edit?usp=sharing"",""แผน!F88"")"),0)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IFERROR(__xludf.DUMMYFUNCTION("IMPORTRANGE(""https://docs.google.com/spreadsheets/d/1eHaY18a8A9IcSdp1K8H6x8fbOy06t2VsZHhMHf-1x7Y/edit?usp=sharing"",""แผน!G88"")"),0)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IFERROR(__xludf.DUMMYFUNCTION("IMPORTRANGE(""https://docs.google.com/spreadsheets/d/1eHaY18a8A9IcSdp1K8H6x8fbOy06t2VsZHhMHf-1x7Y/edit?usp=sharing"",""แผน!D88"")"),0)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IFERROR(__xludf.DUMMYFUNCTION("IMPORTRANGE(""https://docs.google.com/spreadsheets/d/1eHaY18a8A9IcSdp1K8H6x8fbOy06t2VsZHhMHf-1x7Y/edit?usp=sharing"",""แผน!E88"")"),0)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IFERROR(__xludf.DUMMYFUNCTION("IMPORTRANGE(""https://docs.google.com/spreadsheets/d/1eHaY18a8A9IcSdp1K8H6x8fbOy06t2VsZHhMHf-1x7Y/edit?usp=sharing"",""แผน!J88"")"),0)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IFERROR(__xludf.DUMMYFUNCTION("IMPORTRANGE(""https://docs.google.com/spreadsheets/d/1-uDff_7J0KD5mKrp0Vvzr7lt3OU09vwQwhkpOPPYv2Y/edit?usp=sharing"",""งบพรบ!AW88"")"),0)</f>
        <v>0</v>
      </c>
      <c r="M99" s="48">
        <f ca="1">IFERROR(__xludf.DUMMYFUNCTION("IMPORTRANGE(""https://docs.google.com/spreadsheets/d/1-uDff_7J0KD5mKrp0Vvzr7lt3OU09vwQwhkpOPPYv2Y/edit?usp=sharing"",""งบพรบ!BB88"")"),0)</f>
        <v>0</v>
      </c>
      <c r="N99" s="48">
        <f ca="1">IFERROR(__xludf.DUMMYFUNCTION("IMPORTRANGE(""https://docs.google.com/spreadsheets/d/1-uDff_7J0KD5mKrp0Vvzr7lt3OU09vwQwhkpOPPYv2Y/edit?usp=sharing"",""งบพรบ!BD88"")"),0)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IFERROR(__xludf.DUMMYFUNCTION("IMPORTRANGE(""https://docs.google.com/spreadsheets/d/1-uDff_7J0KD5mKrp0Vvzr7lt3OU09vwQwhkpOPPYv2Y/edit?usp=sharing"",""งบพรบ!AZ88"")"),0)</f>
        <v>0</v>
      </c>
      <c r="M102" s="48">
        <f ca="1">IFERROR(__xludf.DUMMYFUNCTION("IMPORTRANGE(""https://docs.google.com/spreadsheets/d/1-uDff_7J0KD5mKrp0Vvzr7lt3OU09vwQwhkpOPPYv2Y/edit?usp=sharing"",""งบพรบ!BC88"")"),0)</f>
        <v>0</v>
      </c>
      <c r="N102" s="48">
        <f ca="1">IFERROR(__xludf.DUMMYFUNCTION("IMPORTRANGE(""https://docs.google.com/spreadsheets/d/1-uDff_7J0KD5mKrp0Vvzr7lt3OU09vwQwhkpOPPYv2Y/edit?usp=sharing"",""งบพรบ!BE88"")"),0)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IFERROR(__xludf.DUMMYFUNCTION("IMPORTRANGE(""https://docs.google.com/spreadsheets/d/1eHaY18a8A9IcSdp1K8H6x8fbOy06t2VsZHhMHf-1x7Y/edit?usp=sharing"",""แผน!N88"")"),0)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IFERROR(__xludf.DUMMYFUNCTION("IMPORTRANGE(""https://docs.google.com/spreadsheets/d/1eHaY18a8A9IcSdp1K8H6x8fbOy06t2VsZHhMHf-1x7Y/edit?usp=sharing"",""แผน!O88"")"),0)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IFERROR(__xludf.DUMMYFUNCTION("IMPORTRANGE(""https://docs.google.com/spreadsheets/d/1eHaY18a8A9IcSdp1K8H6x8fbOy06t2VsZHhMHf-1x7Y/edit?usp=sharing"",""แผน!R88"")"),0)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IFERROR(__xludf.DUMMYFUNCTION("IMPORTRANGE(""https://docs.google.com/spreadsheets/d/1-uDff_7J0KD5mKrp0Vvzr7lt3OU09vwQwhkpOPPYv2Y/edit?usp=sharing"",""งบพรบ!BG88"")"),0)</f>
        <v>0</v>
      </c>
      <c r="M130" s="178">
        <f ca="1">IFERROR(__xludf.DUMMYFUNCTION("IMPORTRANGE(""https://docs.google.com/spreadsheets/d/1-uDff_7J0KD5mKrp0Vvzr7lt3OU09vwQwhkpOPPYv2Y/edit?usp=sharing"",""งบพรบ!BL88"")"),0)</f>
        <v>0</v>
      </c>
      <c r="N130" s="178">
        <f ca="1">IFERROR(__xludf.DUMMYFUNCTION("IMPORTRANGE(""https://docs.google.com/spreadsheets/d/1-uDff_7J0KD5mKrp0Vvzr7lt3OU09vwQwhkpOPPYv2Y/edit?usp=sharing"",""งบพรบ!BN88"")"),0)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IFERROR(__xludf.DUMMYFUNCTION("IMPORTRANGE(""https://docs.google.com/spreadsheets/d/1-uDff_7J0KD5mKrp0Vvzr7lt3OU09vwQwhkpOPPYv2Y/edit?usp=sharing"",""งบพรบ!BJ88"")"),0)</f>
        <v>0</v>
      </c>
      <c r="M133" s="178">
        <f ca="1">IFERROR(__xludf.DUMMYFUNCTION("IMPORTRANGE(""https://docs.google.com/spreadsheets/d/1-uDff_7J0KD5mKrp0Vvzr7lt3OU09vwQwhkpOPPYv2Y/edit?usp=sharing"",""งบพรบ!BM88"")"),0)</f>
        <v>0</v>
      </c>
      <c r="N133" s="178">
        <f ca="1">IFERROR(__xludf.DUMMYFUNCTION("IMPORTRANGE(""https://docs.google.com/spreadsheets/d/1-uDff_7J0KD5mKrp0Vvzr7lt3OU09vwQwhkpOPPYv2Y/edit?usp=sharing"",""งบพรบ!BO88"")"),0)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20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2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31600</v>
      </c>
      <c r="M139" s="141">
        <f ca="1">M140+M141</f>
        <v>26600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31600</v>
      </c>
      <c r="M141" s="48">
        <f ca="1">M144+M147</f>
        <v>26600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31600</v>
      </c>
      <c r="M142" s="48">
        <f ca="1">M143+M144</f>
        <v>26600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IFERROR(__xludf.DUMMYFUNCTION("IMPORTRANGE(""https://docs.google.com/spreadsheets/d/1-uDff_7J0KD5mKrp0Vvzr7lt3OU09vwQwhkpOPPYv2Y/edit?usp=sharing"",""งบพรบ!BQ88"")"),31600)</f>
        <v>31600</v>
      </c>
      <c r="M144" s="48">
        <f ca="1">IFERROR(__xludf.DUMMYFUNCTION("IMPORTRANGE(""https://docs.google.com/spreadsheets/d/1-uDff_7J0KD5mKrp0Vvzr7lt3OU09vwQwhkpOPPYv2Y/edit?usp=sharing"",""งบพรบ!BV88"")"),26600)</f>
        <v>26600</v>
      </c>
      <c r="N144" s="48">
        <f ca="1">IFERROR(__xludf.DUMMYFUNCTION("IMPORTRANGE(""https://docs.google.com/spreadsheets/d/1-uDff_7J0KD5mKrp0Vvzr7lt3OU09vwQwhkpOPPYv2Y/edit?usp=sharing"",""งบพรบ!BX88"")"),0)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IFERROR(__xludf.DUMMYFUNCTION("IMPORTRANGE(""https://docs.google.com/spreadsheets/d/1-uDff_7J0KD5mKrp0Vvzr7lt3OU09vwQwhkpOPPYv2Y/edit?usp=sharing"",""งบพรบ!BT88"")"),0)</f>
        <v>0</v>
      </c>
      <c r="M147" s="48">
        <f ca="1">IFERROR(__xludf.DUMMYFUNCTION("IMPORTRANGE(""https://docs.google.com/spreadsheets/d/1-uDff_7J0KD5mKrp0Vvzr7lt3OU09vwQwhkpOPPYv2Y/edit?usp=sharing"",""งบพรบ!BW88"")"),0)</f>
        <v>0</v>
      </c>
      <c r="N147" s="48">
        <f ca="1">IFERROR(__xludf.DUMMYFUNCTION("IMPORTRANGE(""https://docs.google.com/spreadsheets/d/1-uDff_7J0KD5mKrp0Vvzr7lt3OU09vwQwhkpOPPYv2Y/edit?usp=sharing"",""งบพรบ!BY88"")"),0)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IFERROR(__xludf.DUMMYFUNCTION("IMPORTRANGE(""https://docs.google.com/spreadsheets/d/1eHaY18a8A9IcSdp1K8H6x8fbOy06t2VsZHhMHf-1x7Y/edit?usp=sharing"",""แผน!U88"")"),0)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IFERROR(__xludf.DUMMYFUNCTION("IMPORTRANGE(""https://docs.google.com/spreadsheets/d/1eHaY18a8A9IcSdp1K8H6x8fbOy06t2VsZHhMHf-1x7Y/edit?usp=sharing"",""แผน!V88"")"),0)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IFERROR(__xludf.DUMMYFUNCTION("IMPORTRANGE(""https://docs.google.com/spreadsheets/d/1eHaY18a8A9IcSdp1K8H6x8fbOy06t2VsZHhMHf-1x7Y/edit?usp=sharing"",""แผน!W88"")"),20)</f>
        <v>20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IFERROR(__xludf.DUMMYFUNCTION("IMPORTRANGE(""https://docs.google.com/spreadsheets/d/1eHaY18a8A9IcSdp1K8H6x8fbOy06t2VsZHhMHf-1x7Y/edit?usp=sharing"",""แผน!X88"")"),2)</f>
        <v>2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IFERROR(__xludf.DUMMYFUNCTION("IMPORTRANGE(""https://docs.google.com/spreadsheets/d/1eHaY18a8A9IcSdp1K8H6x8fbOy06t2VsZHhMHf-1x7Y/edit?usp=sharing"",""แผน!Y88"")"),0)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I167</f>
        <v>10</v>
      </c>
      <c r="J156" s="136">
        <f>J167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3000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3000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3000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IFERROR(__xludf.DUMMYFUNCTION("IMPORTRANGE(""https://docs.google.com/spreadsheets/d/1-uDff_7J0KD5mKrp0Vvzr7lt3OU09vwQwhkpOPPYv2Y/edit?usp=sharing"",""งบพรบ!CA88"")"),3000)</f>
        <v>3000</v>
      </c>
      <c r="M162" s="48">
        <f ca="1">IFERROR(__xludf.DUMMYFUNCTION("IMPORTRANGE(""https://docs.google.com/spreadsheets/d/1-uDff_7J0KD5mKrp0Vvzr7lt3OU09vwQwhkpOPPYv2Y/edit?usp=sharing"",""งบพรบ!CF88"")"),0)</f>
        <v>0</v>
      </c>
      <c r="N162" s="48">
        <f ca="1">IFERROR(__xludf.DUMMYFUNCTION("IMPORTRANGE(""https://docs.google.com/spreadsheets/d/1-uDff_7J0KD5mKrp0Vvzr7lt3OU09vwQwhkpOPPYv2Y/edit?usp=sharing"",""งบพรบ!CH88"")"),0)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IFERROR(__xludf.DUMMYFUNCTION("IMPORTRANGE(""https://docs.google.com/spreadsheets/d/1-uDff_7J0KD5mKrp0Vvzr7lt3OU09vwQwhkpOPPYv2Y/edit?usp=sharing"",""งบพรบ!CD88"")"),0)</f>
        <v>0</v>
      </c>
      <c r="M165" s="48">
        <f ca="1">IFERROR(__xludf.DUMMYFUNCTION("IMPORTRANGE(""https://docs.google.com/spreadsheets/d/1-uDff_7J0KD5mKrp0Vvzr7lt3OU09vwQwhkpOPPYv2Y/edit?usp=sharing"",""งบพรบ!CG88"")"),0)</f>
        <v>0</v>
      </c>
      <c r="N165" s="48">
        <f ca="1">IFERROR(__xludf.DUMMYFUNCTION("IMPORTRANGE(""https://docs.google.com/spreadsheets/d/1-uDff_7J0KD5mKrp0Vvzr7lt3OU09vwQwhkpOPPYv2Y/edit?usp=sharing"",""งบพรบ!CI88"")"),0)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IFERROR(__xludf.DUMMYFUNCTION("IMPORTRANGE(""https://docs.google.com/spreadsheets/d/1eHaY18a8A9IcSdp1K8H6x8fbOy06t2VsZHhMHf-1x7Y/edit?usp=sharing"",""แผน!Z88"")"),10)</f>
        <v>10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I167</f>
        <v>10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I167</f>
        <v>10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14052</v>
      </c>
      <c r="O173" s="141">
        <f ca="1">IF(L173&gt;0,N173*100/L173,0)</f>
        <v>71.73047473200613</v>
      </c>
      <c r="P173" s="141">
        <f ca="1">IF(M173&gt;0,N173*100/M173,0)</f>
        <v>71.73047473200613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14052</v>
      </c>
      <c r="O175" s="48">
        <f ca="1">IF(L175&gt;0,N175*100/L175,0)</f>
        <v>71.73047473200613</v>
      </c>
      <c r="P175" s="48">
        <f ca="1">IF(M175&gt;0,N175*100/M175,0)</f>
        <v>71.73047473200613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14052</v>
      </c>
      <c r="O176" s="48">
        <f ca="1">IF(L176&gt;0,N176*100/L176,0)</f>
        <v>71.73047473200613</v>
      </c>
      <c r="P176" s="48">
        <f ca="1">IF(M176&gt;0,N176*100/M176,0)</f>
        <v>71.73047473200613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IFERROR(__xludf.DUMMYFUNCTION("IMPORTRANGE(""https://docs.google.com/spreadsheets/d/1-uDff_7J0KD5mKrp0Vvzr7lt3OU09vwQwhkpOPPYv2Y/edit?usp=sharing"",""งบพรบ!CK88"")"),19590)</f>
        <v>19590</v>
      </c>
      <c r="M178" s="48">
        <f ca="1">IFERROR(__xludf.DUMMYFUNCTION("IMPORTRANGE(""https://docs.google.com/spreadsheets/d/1-uDff_7J0KD5mKrp0Vvzr7lt3OU09vwQwhkpOPPYv2Y/edit?usp=sharing"",""งบพรบ!CP88"")"),19590)</f>
        <v>19590</v>
      </c>
      <c r="N178" s="48">
        <f ca="1">IFERROR(__xludf.DUMMYFUNCTION("IMPORTRANGE(""https://docs.google.com/spreadsheets/d/1-uDff_7J0KD5mKrp0Vvzr7lt3OU09vwQwhkpOPPYv2Y/edit?usp=sharing"",""งบพรบ!CR88"")"),14052)</f>
        <v>14052</v>
      </c>
      <c r="O178" s="48">
        <f ca="1">IF(L178&gt;0,N178*100/L178,0)</f>
        <v>71.73047473200613</v>
      </c>
      <c r="P178" s="48">
        <f ca="1">IF(M178&gt;0,N178*100/M178,0)</f>
        <v>71.73047473200613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IFERROR(__xludf.DUMMYFUNCTION("IMPORTRANGE(""https://docs.google.com/spreadsheets/d/1-uDff_7J0KD5mKrp0Vvzr7lt3OU09vwQwhkpOPPYv2Y/edit?usp=sharing"",""งบพรบ!CN88"")"),0)</f>
        <v>0</v>
      </c>
      <c r="M181" s="48">
        <f ca="1">IFERROR(__xludf.DUMMYFUNCTION("IMPORTRANGE(""https://docs.google.com/spreadsheets/d/1-uDff_7J0KD5mKrp0Vvzr7lt3OU09vwQwhkpOPPYv2Y/edit?usp=sharing"",""งบพรบ!CQ88"")"),0)</f>
        <v>0</v>
      </c>
      <c r="N181" s="48">
        <f ca="1">IFERROR(__xludf.DUMMYFUNCTION("IMPORTRANGE(""https://docs.google.com/spreadsheets/d/1-uDff_7J0KD5mKrp0Vvzr7lt3OU09vwQwhkpOPPYv2Y/edit?usp=sharing"",""งบพรบ!CS88"")"),0)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IFERROR(__xludf.DUMMYFUNCTION("IMPORTRANGE(""https://docs.google.com/spreadsheets/d/1eHaY18a8A9IcSdp1K8H6x8fbOy06t2VsZHhMHf-1x7Y/edit?usp=sharing"",""แผน!AA88"")"),7)</f>
        <v>7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223500</v>
      </c>
      <c r="M186" s="141">
        <f ca="1">M187+M188</f>
        <v>152500</v>
      </c>
      <c r="N186" s="141">
        <f ca="1">N187+N188</f>
        <v>26960</v>
      </c>
      <c r="O186" s="141">
        <f ca="1">IF(L186&gt;0,N186*100/L186,0)</f>
        <v>12.062639821029082</v>
      </c>
      <c r="P186" s="141">
        <f ca="1">IF(M186&gt;0,N186*100/M186,0)</f>
        <v>17.678688524590164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223500</v>
      </c>
      <c r="M188" s="48">
        <f ca="1">M191+M194</f>
        <v>152500</v>
      </c>
      <c r="N188" s="48">
        <f ca="1">N191+N194</f>
        <v>26960</v>
      </c>
      <c r="O188" s="48">
        <f ca="1">IF(L188&gt;0,N188*100/L188,0)</f>
        <v>12.062639821029082</v>
      </c>
      <c r="P188" s="48">
        <f ca="1">IF(M188&gt;0,N188*100/M188,0)</f>
        <v>17.678688524590164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223500</v>
      </c>
      <c r="M189" s="48">
        <f ca="1">M190+M191</f>
        <v>152500</v>
      </c>
      <c r="N189" s="48">
        <f ca="1">N190+N191</f>
        <v>26960</v>
      </c>
      <c r="O189" s="48">
        <f ca="1">IF(L189&gt;0,N189*100/L189,0)</f>
        <v>12.062639821029082</v>
      </c>
      <c r="P189" s="48">
        <f ca="1">IF(M189&gt;0,N189*100/M189,0)</f>
        <v>17.678688524590164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IFERROR(__xludf.DUMMYFUNCTION("IMPORTRANGE(""https://docs.google.com/spreadsheets/d/1-uDff_7J0KD5mKrp0Vvzr7lt3OU09vwQwhkpOPPYv2Y/edit?usp=sharing"",""งบพรบ!CU88"")"),223500)</f>
        <v>223500</v>
      </c>
      <c r="M191" s="48">
        <f ca="1">IFERROR(__xludf.DUMMYFUNCTION("IMPORTRANGE(""https://docs.google.com/spreadsheets/d/1-uDff_7J0KD5mKrp0Vvzr7lt3OU09vwQwhkpOPPYv2Y/edit?usp=sharing"",""งบพรบ!CZ88"")"),152500)</f>
        <v>152500</v>
      </c>
      <c r="N191" s="48">
        <f ca="1">IFERROR(__xludf.DUMMYFUNCTION("IMPORTRANGE(""https://docs.google.com/spreadsheets/d/1-uDff_7J0KD5mKrp0Vvzr7lt3OU09vwQwhkpOPPYv2Y/edit?usp=sharing"",""งบพรบ!DB88"")"),26960)</f>
        <v>26960</v>
      </c>
      <c r="O191" s="48">
        <f ca="1">IF(L191&gt;0,N191*100/L191,0)</f>
        <v>12.062639821029082</v>
      </c>
      <c r="P191" s="48">
        <f ca="1">IF(M191&gt;0,N191*100/M191,0)</f>
        <v>17.678688524590164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IFERROR(__xludf.DUMMYFUNCTION("IMPORTRANGE(""https://docs.google.com/spreadsheets/d/1-uDff_7J0KD5mKrp0Vvzr7lt3OU09vwQwhkpOPPYv2Y/edit?usp=sharing"",""งบพรบ!CX88"")"),0)</f>
        <v>0</v>
      </c>
      <c r="M194" s="48">
        <f ca="1">IFERROR(__xludf.DUMMYFUNCTION("IMPORTRANGE(""https://docs.google.com/spreadsheets/d/1-uDff_7J0KD5mKrp0Vvzr7lt3OU09vwQwhkpOPPYv2Y/edit?usp=sharing"",""งบพรบ!DA88"")"),0)</f>
        <v>0</v>
      </c>
      <c r="N194" s="48">
        <f ca="1">IFERROR(__xludf.DUMMYFUNCTION("IMPORTRANGE(""https://docs.google.com/spreadsheets/d/1-uDff_7J0KD5mKrp0Vvzr7lt3OU09vwQwhkpOPPYv2Y/edit?usp=sharing"",""งบพรบ!DC88"")"),0)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IFERROR(__xludf.DUMMYFUNCTION("IMPORTRANGE(""https://docs.google.com/spreadsheets/d/1eHaY18a8A9IcSdp1K8H6x8fbOy06t2VsZHhMHf-1x7Y/edit?usp=sharing"",""แผน!AB88"")"),6000)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IFERROR(__xludf.DUMMYFUNCTION("IMPORTRANGE(""https://docs.google.com/spreadsheets/d/1eHaY18a8A9IcSdp1K8H6x8fbOy06t2VsZHhMHf-1x7Y/edit?usp=sharing"",""แผน!AE88"")"),4)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2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31000</v>
      </c>
      <c r="M203" s="47"/>
      <c r="N203" s="141">
        <f>N204+N205+N206+N207</f>
        <v>960</v>
      </c>
      <c r="O203" s="141">
        <f ca="1">IF(L203&gt;0,N203*100/L203,0)</f>
        <v>3.096774193548387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IFERROR(__xludf.DUMMYFUNCTION("IMPORTRANGE(""https://docs.google.com/spreadsheets/d/1eHaY18a8A9IcSdp1K8H6x8fbOy06t2VsZHhMHf-1x7Y/edit?usp=sharing"",""แผน!AG88"")"),2000)</f>
        <v>2000</v>
      </c>
      <c r="M204" s="47"/>
      <c r="N204" s="249">
        <v>960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IFERROR(__xludf.DUMMYFUNCTION("IMPORTRANGE(""https://docs.google.com/spreadsheets/d/1eHaY18a8A9IcSdp1K8H6x8fbOy06t2VsZHhMHf-1x7Y/edit?usp=sharing"",""แผน!AH88"")"),0)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IFERROR(__xludf.DUMMYFUNCTION("IMPORTRANGE(""https://docs.google.com/spreadsheets/d/1eHaY18a8A9IcSdp1K8H6x8fbOy06t2VsZHhMHf-1x7Y/edit?usp=sharing"",""แผน!AI88"")"),16000)</f>
        <v>16000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IFERROR(__xludf.DUMMYFUNCTION("IMPORTRANGE(""https://docs.google.com/spreadsheets/d/1eHaY18a8A9IcSdp1K8H6x8fbOy06t2VsZHhMHf-1x7Y/edit?usp=sharing"",""แผน!AJ88"")"),13000)</f>
        <v>13000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IFERROR(__xludf.DUMMYFUNCTION("IMPORTRANGE(""https://docs.google.com/spreadsheets/d/1eHaY18a8A9IcSdp1K8H6x8fbOy06t2VsZHhMHf-1x7Y/edit?usp=sharing"",""แผน!AK88"")"),2)</f>
        <v>2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IFERROR(__xludf.DUMMYFUNCTION("IMPORTRANGE(""https://docs.google.com/spreadsheets/d/1eHaY18a8A9IcSdp1K8H6x8fbOy06t2VsZHhMHf-1x7Y/edit?usp=sharing"",""แผน!AK88"")"),2)</f>
        <v>2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IFERROR(__xludf.DUMMYFUNCTION("IMPORTRANGE(""https://docs.google.com/spreadsheets/d/1eHaY18a8A9IcSdp1K8H6x8fbOy06t2VsZHhMHf-1x7Y/edit?usp=sharing"",""แผน!AK88"")"),2)</f>
        <v>2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hidden="1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hidden="1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hidden="1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IFERROR(__xludf.DUMMYFUNCTION("IMPORTRANGE(""https://docs.google.com/spreadsheets/d/1eHaY18a8A9IcSdp1K8H6x8fbOy06t2VsZHhMHf-1x7Y/edit?usp=sharing"",""แผน!AM88"")"),0)</f>
        <v>0</v>
      </c>
      <c r="M215" s="47"/>
      <c r="N215" s="249">
        <v>0</v>
      </c>
      <c r="O215" s="146"/>
      <c r="P215" s="47"/>
    </row>
    <row r="216" spans="1:16" ht="18.75" hidden="1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IFERROR(__xludf.DUMMYFUNCTION("IMPORTRANGE(""https://docs.google.com/spreadsheets/d/1eHaY18a8A9IcSdp1K8H6x8fbOy06t2VsZHhMHf-1x7Y/edit?usp=sharing"",""แผน!AN88"")"),0)</f>
        <v>0</v>
      </c>
      <c r="M216" s="47"/>
      <c r="N216" s="249">
        <v>0</v>
      </c>
      <c r="O216" s="146"/>
      <c r="P216" s="47"/>
    </row>
    <row r="217" spans="1:16" ht="18.75" hidden="1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IFERROR(__xludf.DUMMYFUNCTION("IMPORTRANGE(""https://docs.google.com/spreadsheets/d/1eHaY18a8A9IcSdp1K8H6x8fbOy06t2VsZHhMHf-1x7Y/edit?usp=sharing"",""แผน!AO88"")"),0)</f>
        <v>0</v>
      </c>
      <c r="M217" s="47"/>
      <c r="N217" s="249">
        <v>0</v>
      </c>
      <c r="O217" s="146"/>
      <c r="P217" s="47"/>
    </row>
    <row r="218" spans="1:16" ht="19.5" hidden="1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hidden="1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IFERROR(__xludf.DUMMYFUNCTION("IMPORTRANGE(""https://docs.google.com/spreadsheets/d/1eHaY18a8A9IcSdp1K8H6x8fbOy06t2VsZHhMHf-1x7Y/edit?usp=sharing"",""แผน!AP88"")"),0)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hidden="1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IFERROR(__xludf.DUMMYFUNCTION("IMPORTRANGE(""https://docs.google.com/spreadsheets/d/1eHaY18a8A9IcSdp1K8H6x8fbOy06t2VsZHhMHf-1x7Y/edit?usp=sharing"",""แผน!AP88"")"),0)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10000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IFERROR(__xludf.DUMMYFUNCTION("IMPORTRANGE(""https://docs.google.com/spreadsheets/d/1eHaY18a8A9IcSdp1K8H6x8fbOy06t2VsZHhMHf-1x7Y/edit?usp=sharing"",""แผน!AR88"")"),3000)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IFERROR(__xludf.DUMMYFUNCTION("IMPORTRANGE(""https://docs.google.com/spreadsheets/d/1eHaY18a8A9IcSdp1K8H6x8fbOy06t2VsZHhMHf-1x7Y/edit?usp=sharing"",""แผน!AS88"")"),1500)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IFERROR(__xludf.DUMMYFUNCTION("IMPORTRANGE(""https://docs.google.com/spreadsheets/d/1eHaY18a8A9IcSdp1K8H6x8fbOy06t2VsZHhMHf-1x7Y/edit?usp=sharing"",""แผน!AT88"")"),0)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IFERROR(__xludf.DUMMYFUNCTION("IMPORTRANGE(""https://docs.google.com/spreadsheets/d/1eHaY18a8A9IcSdp1K8H6x8fbOy06t2VsZHhMHf-1x7Y/edit?usp=sharing"",""แผน!AV88"")"),10000)</f>
        <v>10000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IFERROR(__xludf.DUMMYFUNCTION("IMPORTRANGE(""https://docs.google.com/spreadsheets/d/1eHaY18a8A9IcSdp1K8H6x8fbOy06t2VsZHhMHf-1x7Y/edit?usp=sharing"",""แผน!AV88"")"),10000)</f>
        <v>10000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IFERROR(__xludf.DUMMYFUNCTION("IMPORTRANGE(""https://docs.google.com/spreadsheets/d/1eHaY18a8A9IcSdp1K8H6x8fbOy06t2VsZHhMHf-1x7Y/edit?usp=sharing"",""แผน!AU88"")"),0)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34"/>
      <c r="B231" s="235"/>
      <c r="C231" s="236" t="s">
        <v>101</v>
      </c>
      <c r="D231" s="237"/>
      <c r="E231" s="237"/>
      <c r="F231" s="237"/>
      <c r="G231" s="238"/>
      <c r="H231" s="239" t="s">
        <v>33</v>
      </c>
      <c r="I231" s="240">
        <f ca="1">I242+I253</f>
        <v>0</v>
      </c>
      <c r="J231" s="240">
        <f>J242+J253</f>
        <v>0</v>
      </c>
      <c r="K231" s="241">
        <f ca="1">IF(I231&gt;0,J231*100/I231,0)</f>
        <v>0</v>
      </c>
      <c r="L231" s="242"/>
      <c r="M231" s="242"/>
      <c r="N231" s="242"/>
      <c r="O231" s="242"/>
      <c r="P231" s="242"/>
    </row>
    <row r="232" spans="1:16" ht="19.5" hidden="1" x14ac:dyDescent="0.3">
      <c r="A232" s="137"/>
      <c r="B232" s="42"/>
      <c r="C232" s="198" t="s">
        <v>16</v>
      </c>
      <c r="D232" s="475" t="s">
        <v>17</v>
      </c>
      <c r="E232" s="42"/>
      <c r="F232" s="42"/>
      <c r="G232" s="44"/>
      <c r="H232" s="244" t="s">
        <v>12</v>
      </c>
      <c r="I232" s="145"/>
      <c r="J232" s="145"/>
      <c r="K232" s="146"/>
      <c r="L232" s="141">
        <f ca="1">L243+L254</f>
        <v>0</v>
      </c>
      <c r="M232" s="47"/>
      <c r="N232" s="141">
        <f>N243+N254</f>
        <v>0</v>
      </c>
      <c r="O232" s="47"/>
      <c r="P232" s="47"/>
    </row>
    <row r="233" spans="1:16" ht="18.75" hidden="1" x14ac:dyDescent="0.25">
      <c r="A233" s="137"/>
      <c r="B233" s="229"/>
      <c r="C233" s="42"/>
      <c r="D233" s="52" t="s">
        <v>89</v>
      </c>
      <c r="E233" s="42"/>
      <c r="F233" s="42"/>
      <c r="G233" s="44"/>
      <c r="H233" s="144" t="s">
        <v>12</v>
      </c>
      <c r="I233" s="145"/>
      <c r="J233" s="145"/>
      <c r="K233" s="146"/>
      <c r="L233" s="48">
        <f ca="1">L244+L255</f>
        <v>0</v>
      </c>
      <c r="M233" s="47"/>
      <c r="N233" s="48">
        <f>N244+N255</f>
        <v>0</v>
      </c>
      <c r="O233" s="47"/>
      <c r="P233" s="47"/>
    </row>
    <row r="234" spans="1:16" ht="18.75" hidden="1" x14ac:dyDescent="0.25">
      <c r="A234" s="228"/>
      <c r="B234" s="229"/>
      <c r="C234" s="229"/>
      <c r="D234" s="52" t="s">
        <v>82</v>
      </c>
      <c r="E234" s="42"/>
      <c r="F234" s="42"/>
      <c r="G234" s="44"/>
      <c r="H234" s="144" t="s">
        <v>12</v>
      </c>
      <c r="I234" s="46"/>
      <c r="J234" s="46"/>
      <c r="K234" s="47"/>
      <c r="L234" s="48">
        <f ca="1">L245+L256</f>
        <v>0</v>
      </c>
      <c r="M234" s="47"/>
      <c r="N234" s="48">
        <f>N245+N256</f>
        <v>0</v>
      </c>
      <c r="O234" s="47"/>
      <c r="P234" s="47"/>
    </row>
    <row r="235" spans="1:16" ht="18.75" hidden="1" x14ac:dyDescent="0.25">
      <c r="A235" s="228"/>
      <c r="B235" s="229"/>
      <c r="C235" s="229"/>
      <c r="D235" s="52" t="s">
        <v>102</v>
      </c>
      <c r="E235" s="42"/>
      <c r="F235" s="42"/>
      <c r="G235" s="44"/>
      <c r="H235" s="144" t="s">
        <v>12</v>
      </c>
      <c r="I235" s="46"/>
      <c r="J235" s="46"/>
      <c r="K235" s="47"/>
      <c r="L235" s="48">
        <f ca="1">L246+L257</f>
        <v>0</v>
      </c>
      <c r="M235" s="47"/>
      <c r="N235" s="48">
        <f>N246+N257</f>
        <v>0</v>
      </c>
      <c r="O235" s="47"/>
      <c r="P235" s="47"/>
    </row>
    <row r="236" spans="1:16" ht="18.75" hidden="1" x14ac:dyDescent="0.25">
      <c r="A236" s="228"/>
      <c r="B236" s="229"/>
      <c r="C236" s="229"/>
      <c r="D236" s="52" t="s">
        <v>103</v>
      </c>
      <c r="E236" s="42"/>
      <c r="F236" s="42"/>
      <c r="G236" s="44"/>
      <c r="H236" s="144" t="s">
        <v>12</v>
      </c>
      <c r="I236" s="46"/>
      <c r="J236" s="46"/>
      <c r="K236" s="47"/>
      <c r="L236" s="48">
        <f ca="1">L247+L258</f>
        <v>0</v>
      </c>
      <c r="M236" s="47"/>
      <c r="N236" s="48">
        <f>N247+N258</f>
        <v>0</v>
      </c>
      <c r="O236" s="47"/>
      <c r="P236" s="47"/>
    </row>
    <row r="237" spans="1:16" ht="19.5" hidden="1" x14ac:dyDescent="0.3">
      <c r="A237" s="149"/>
      <c r="B237" s="150"/>
      <c r="C237" s="252" t="s">
        <v>16</v>
      </c>
      <c r="D237" s="473" t="s">
        <v>36</v>
      </c>
      <c r="E237" s="152"/>
      <c r="F237" s="152"/>
      <c r="G237" s="153"/>
      <c r="H237" s="154"/>
      <c r="I237" s="145"/>
      <c r="J237" s="46"/>
      <c r="K237" s="47"/>
      <c r="L237" s="47"/>
      <c r="M237" s="47"/>
      <c r="N237" s="47"/>
      <c r="O237" s="146"/>
      <c r="P237" s="146"/>
    </row>
    <row r="238" spans="1:16" ht="18.75" hidden="1" x14ac:dyDescent="0.25">
      <c r="A238" s="149"/>
      <c r="B238" s="150"/>
      <c r="C238" s="150"/>
      <c r="D238" s="160" t="s">
        <v>104</v>
      </c>
      <c r="E238" s="156"/>
      <c r="F238" s="156"/>
      <c r="G238" s="154"/>
      <c r="H238" s="251" t="s">
        <v>33</v>
      </c>
      <c r="I238" s="170">
        <f ca="1">I249+I260</f>
        <v>0</v>
      </c>
      <c r="J238" s="170">
        <f>J249+J260</f>
        <v>0</v>
      </c>
      <c r="K238" s="48">
        <f ca="1">IF(I238&gt;0,J238*100/I238,0)</f>
        <v>0</v>
      </c>
      <c r="L238" s="47"/>
      <c r="M238" s="47"/>
      <c r="N238" s="47"/>
      <c r="O238" s="47"/>
      <c r="P238" s="47"/>
    </row>
    <row r="239" spans="1:16" ht="18.75" hidden="1" x14ac:dyDescent="0.25">
      <c r="A239" s="149"/>
      <c r="B239" s="150"/>
      <c r="C239" s="150"/>
      <c r="D239" s="522" t="s">
        <v>41</v>
      </c>
      <c r="E239" s="156"/>
      <c r="F239" s="156"/>
      <c r="G239" s="154"/>
      <c r="H239" s="154"/>
      <c r="I239" s="46"/>
      <c r="J239" s="46"/>
      <c r="K239" s="47"/>
      <c r="L239" s="47"/>
      <c r="M239" s="47"/>
      <c r="N239" s="47"/>
      <c r="O239" s="146"/>
      <c r="P239" s="146"/>
    </row>
    <row r="240" spans="1:16" ht="18.75" hidden="1" x14ac:dyDescent="0.25">
      <c r="A240" s="149"/>
      <c r="B240" s="150"/>
      <c r="C240" s="150"/>
      <c r="D240" s="150"/>
      <c r="E240" s="155" t="s">
        <v>105</v>
      </c>
      <c r="F240" s="156"/>
      <c r="G240" s="154"/>
      <c r="H240" s="251" t="s">
        <v>33</v>
      </c>
      <c r="I240" s="170">
        <f>I251+I262</f>
        <v>0</v>
      </c>
      <c r="J240" s="170">
        <f>J251+J262</f>
        <v>0</v>
      </c>
      <c r="K240" s="48">
        <f>IF(I240&gt;0,J240*100/I240,0)</f>
        <v>0</v>
      </c>
      <c r="L240" s="47"/>
      <c r="M240" s="47"/>
      <c r="N240" s="47"/>
      <c r="O240" s="47"/>
      <c r="P240" s="47"/>
    </row>
    <row r="241" spans="1:16" ht="18.75" hidden="1" x14ac:dyDescent="0.25">
      <c r="A241" s="149"/>
      <c r="B241" s="150"/>
      <c r="C241" s="150"/>
      <c r="D241" s="150"/>
      <c r="E241" s="155" t="s">
        <v>106</v>
      </c>
      <c r="F241" s="156"/>
      <c r="G241" s="154"/>
      <c r="H241" s="251" t="s">
        <v>54</v>
      </c>
      <c r="I241" s="170">
        <f>I252+I263</f>
        <v>0</v>
      </c>
      <c r="J241" s="170">
        <f>J252+J263</f>
        <v>0</v>
      </c>
      <c r="K241" s="48">
        <f>IF(I241&gt;0,J241*100/I241,0)</f>
        <v>0</v>
      </c>
      <c r="L241" s="47"/>
      <c r="M241" s="47"/>
      <c r="N241" s="47"/>
      <c r="O241" s="47"/>
      <c r="P241" s="47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IFERROR(__xludf.DUMMYFUNCTION("IMPORTRANGE(""https://docs.google.com/spreadsheets/d/1eHaY18a8A9IcSdp1K8H6x8fbOy06t2VsZHhMHf-1x7Y/edit?usp=sharing"",""แผน!AX88"")"),0)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IFERROR(__xludf.DUMMYFUNCTION("IMPORTRANGE(""https://docs.google.com/spreadsheets/d/1eHaY18a8A9IcSdp1K8H6x8fbOy06t2VsZHhMHf-1x7Y/edit?usp=sharing"",""แผน!AY88"")"),0)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IFERROR(__xludf.DUMMYFUNCTION("IMPORTRANGE(""https://docs.google.com/spreadsheets/d/1eHaY18a8A9IcSdp1K8H6x8fbOy06t2VsZHhMHf-1x7Y/edit?usp=sharing"",""แผน!AZ88"")"),0)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IFERROR(__xludf.DUMMYFUNCTION("IMPORTRANGE(""https://docs.google.com/spreadsheets/d/1eHaY18a8A9IcSdp1K8H6x8fbOy06t2VsZHhMHf-1x7Y/edit?usp=sharing"",""แผน!BA88"")"),0)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IFERROR(__xludf.DUMMYFUNCTION("IMPORTRANGE(""https://docs.google.com/spreadsheets/d/1eHaY18a8A9IcSdp1K8H6x8fbOy06t2VsZHhMHf-1x7Y/edit?usp=sharing"",""แผน!BG88"")"),0)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IFERROR(__xludf.DUMMYFUNCTION("IMPORTRANGE(""https://docs.google.com/spreadsheets/d/1eHaY18a8A9IcSdp1K8H6x8fbOy06t2VsZHhMHf-1x7Y/edit?usp=sharing"",""แผน!BB88"")"),0)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IFERROR(__xludf.DUMMYFUNCTION("IMPORTRANGE(""https://docs.google.com/spreadsheets/d/1eHaY18a8A9IcSdp1K8H6x8fbOy06t2VsZHhMHf-1x7Y/edit?usp=sharing"",""แผน!BC88"")"),0)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IFERROR(__xludf.DUMMYFUNCTION("IMPORTRANGE(""https://docs.google.com/spreadsheets/d/1eHaY18a8A9IcSdp1K8H6x8fbOy06t2VsZHhMHf-1x7Y/edit?usp=sharing"",""แผน!BD88"")"),0)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IFERROR(__xludf.DUMMYFUNCTION("IMPORTRANGE(""https://docs.google.com/spreadsheets/d/1eHaY18a8A9IcSdp1K8H6x8fbOy06t2VsZHhMHf-1x7Y/edit?usp=sharing"",""แผน!BE88"")"),0)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IFERROR(__xludf.DUMMYFUNCTION("IMPORTRANGE(""https://docs.google.com/spreadsheets/d/1eHaY18a8A9IcSdp1K8H6x8fbOy06t2VsZHhMHf-1x7Y/edit?usp=sharing"",""แผน!BH88"")"),0)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IFERROR(__xludf.DUMMYFUNCTION("IMPORTRANGE(""https://docs.google.com/spreadsheets/d/1-uDff_7J0KD5mKrp0Vvzr7lt3OU09vwQwhkpOPPYv2Y/edit?usp=sharing"",""งบพรบ!DE88"")"),0)</f>
        <v>0</v>
      </c>
      <c r="M271" s="51">
        <f ca="1">IFERROR(__xludf.DUMMYFUNCTION("IMPORTRANGE(""https://docs.google.com/spreadsheets/d/1-uDff_7J0KD5mKrp0Vvzr7lt3OU09vwQwhkpOPPYv2Y/edit?usp=sharing"",""งบพรบ!DJ88"")"),0)</f>
        <v>0</v>
      </c>
      <c r="N271" s="51">
        <f ca="1">IFERROR(__xludf.DUMMYFUNCTION("IMPORTRANGE(""https://docs.google.com/spreadsheets/d/1-uDff_7J0KD5mKrp0Vvzr7lt3OU09vwQwhkpOPPYv2Y/edit?usp=sharing"",""งบพรบ!DL88"")"),0)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IFERROR(__xludf.DUMMYFUNCTION("IMPORTRANGE(""https://docs.google.com/spreadsheets/d/1-uDff_7J0KD5mKrp0Vvzr7lt3OU09vwQwhkpOPPYv2Y/edit?usp=sharing"",""งบพรบ!DH88"")"),0)</f>
        <v>0</v>
      </c>
      <c r="M274" s="51">
        <f ca="1">IFERROR(__xludf.DUMMYFUNCTION("IMPORTRANGE(""https://docs.google.com/spreadsheets/d/1-uDff_7J0KD5mKrp0Vvzr7lt3OU09vwQwhkpOPPYv2Y/edit?usp=sharing"",""งบพรบ!DK88"")"),0)</f>
        <v>0</v>
      </c>
      <c r="N274" s="51">
        <f ca="1">IFERROR(__xludf.DUMMYFUNCTION("IMPORTRANGE(""https://docs.google.com/spreadsheets/d/1-uDff_7J0KD5mKrp0Vvzr7lt3OU09vwQwhkpOPPYv2Y/edit?usp=sharing"",""งบพรบ!DM88"")"),0)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10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100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292520</v>
      </c>
      <c r="M282" s="141">
        <f ca="1">M283+M284</f>
        <v>213480</v>
      </c>
      <c r="N282" s="141">
        <f ca="1">N283+N284</f>
        <v>74008.850000000006</v>
      </c>
      <c r="O282" s="141">
        <f ca="1">IF(L282&gt;0,N282*100/L282,0)</f>
        <v>25.300440995487492</v>
      </c>
      <c r="P282" s="141">
        <f ca="1">IF(M282&gt;0,N282*100/M282,0)</f>
        <v>34.667814315158331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292520</v>
      </c>
      <c r="M284" s="48">
        <f ca="1">M287+M290</f>
        <v>213480</v>
      </c>
      <c r="N284" s="48">
        <f ca="1">N287+N290</f>
        <v>74008.850000000006</v>
      </c>
      <c r="O284" s="48">
        <f ca="1">IF(L284&gt;0,N284*100/L284,0)</f>
        <v>25.300440995487492</v>
      </c>
      <c r="P284" s="48">
        <f ca="1">IF(M284&gt;0,N284*100/M284,0)</f>
        <v>34.667814315158331</v>
      </c>
    </row>
    <row r="285" spans="1:16" ht="18.75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292520</v>
      </c>
      <c r="M285" s="48">
        <f ca="1">M286+M287</f>
        <v>213480</v>
      </c>
      <c r="N285" s="48">
        <f ca="1">N286+N287</f>
        <v>74008.850000000006</v>
      </c>
      <c r="O285" s="48">
        <f ca="1">IF(L285&gt;0,N285*100/L285,0)</f>
        <v>25.300440995487492</v>
      </c>
      <c r="P285" s="48">
        <f ca="1">IF(M285&gt;0,N285*100/M285,0)</f>
        <v>34.667814315158331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IFERROR(__xludf.DUMMYFUNCTION("IMPORTRANGE(""https://docs.google.com/spreadsheets/d/1-uDff_7J0KD5mKrp0Vvzr7lt3OU09vwQwhkpOPPYv2Y/edit?usp=sharing"",""งบพรบ!DO88"")"),292520)</f>
        <v>292520</v>
      </c>
      <c r="M287" s="48">
        <f ca="1">IFERROR(__xludf.DUMMYFUNCTION("IMPORTRANGE(""https://docs.google.com/spreadsheets/d/1-uDff_7J0KD5mKrp0Vvzr7lt3OU09vwQwhkpOPPYv2Y/edit?usp=sharing"",""งบพรบ!DT88"")"),213480)</f>
        <v>213480</v>
      </c>
      <c r="N287" s="48">
        <f ca="1">IFERROR(__xludf.DUMMYFUNCTION("IMPORTRANGE(""https://docs.google.com/spreadsheets/d/1-uDff_7J0KD5mKrp0Vvzr7lt3OU09vwQwhkpOPPYv2Y/edit?usp=sharing"",""งบพรบ!DV88"")"),74008.85)</f>
        <v>74008.850000000006</v>
      </c>
      <c r="O287" s="48">
        <f ca="1">IF(L287&gt;0,N287*100/L287,0)</f>
        <v>25.300440995487492</v>
      </c>
      <c r="P287" s="48">
        <f ca="1">IF(M287&gt;0,N287*100/M287,0)</f>
        <v>34.667814315158331</v>
      </c>
    </row>
    <row r="288" spans="1:16" ht="18.75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IFERROR(__xludf.DUMMYFUNCTION("IMPORTRANGE(""https://docs.google.com/spreadsheets/d/1-uDff_7J0KD5mKrp0Vvzr7lt3OU09vwQwhkpOPPYv2Y/edit?usp=sharing"",""งบพรบ!DR88"")"),0)</f>
        <v>0</v>
      </c>
      <c r="M290" s="48">
        <f ca="1">IFERROR(__xludf.DUMMYFUNCTION("IMPORTRANGE(""https://docs.google.com/spreadsheets/d/1-uDff_7J0KD5mKrp0Vvzr7lt3OU09vwQwhkpOPPYv2Y/edit?usp=sharing"",""งบพรบ!DU88"")"),0)</f>
        <v>0</v>
      </c>
      <c r="N290" s="48">
        <f ca="1">IFERROR(__xludf.DUMMYFUNCTION("IMPORTRANGE(""https://docs.google.com/spreadsheets/d/1-uDff_7J0KD5mKrp0Vvzr7lt3OU09vwQwhkpOPPYv2Y/edit?usp=sharing"",""งบพรบ!DW88"")"),0)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IFERROR(__xludf.DUMMYFUNCTION("IMPORTRANGE(""https://docs.google.com/spreadsheets/d/1eHaY18a8A9IcSdp1K8H6x8fbOy06t2VsZHhMHf-1x7Y/edit?usp=sharing"",""แผน!EE88"")"),100)</f>
        <v>100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IFERROR(__xludf.DUMMYFUNCTION("IMPORTRANGE(""https://docs.google.com/spreadsheets/d/1eHaY18a8A9IcSdp1K8H6x8fbOy06t2VsZHhMHf-1x7Y/edit?usp=sharing"",""แผน!ED88"")"),10)</f>
        <v>10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IFERROR(__xludf.DUMMYFUNCTION("IMPORTRANGE(""https://docs.google.com/spreadsheets/d/1eHaY18a8A9IcSdp1K8H6x8fbOy06t2VsZHhMHf-1x7Y/edit?usp=sharing"",""แผน!ED88"")"),10)</f>
        <v>10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IFERROR(__xludf.DUMMYFUNCTION("IMPORTRANGE(""https://docs.google.com/spreadsheets/d/1eHaY18a8A9IcSdp1K8H6x8fbOy06t2VsZHhMHf-1x7Y/edit?usp=sharing"",""แผน!ED88"")"),10)</f>
        <v>10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20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184600</v>
      </c>
      <c r="M303" s="141">
        <f ca="1">M304+M305</f>
        <v>137400</v>
      </c>
      <c r="N303" s="141">
        <f ca="1">N304+N305</f>
        <v>11000</v>
      </c>
      <c r="O303" s="141">
        <f ca="1">IF(L303&gt;0,N303*100/L303,0)</f>
        <v>5.9588299024918747</v>
      </c>
      <c r="P303" s="141">
        <f ca="1">IF(M303&gt;0,N303*100/M303,0)</f>
        <v>8.0058224163027649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184600</v>
      </c>
      <c r="M305" s="48">
        <f ca="1">M308+M311</f>
        <v>137400</v>
      </c>
      <c r="N305" s="48">
        <f ca="1">N308+N311</f>
        <v>11000</v>
      </c>
      <c r="O305" s="48">
        <f ca="1">IF(L305&gt;0,N305*100/L305,0)</f>
        <v>5.9588299024918747</v>
      </c>
      <c r="P305" s="48">
        <f ca="1">IF(M305&gt;0,N305*100/M305,0)</f>
        <v>8.0058224163027649</v>
      </c>
    </row>
    <row r="306" spans="1:16" ht="18.75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184600</v>
      </c>
      <c r="M306" s="48">
        <f ca="1">M307+M308</f>
        <v>137400</v>
      </c>
      <c r="N306" s="48">
        <f ca="1">N307+N308</f>
        <v>11000</v>
      </c>
      <c r="O306" s="48">
        <f ca="1">IF(L306&gt;0,N306*100/L306,0)</f>
        <v>5.9588299024918747</v>
      </c>
      <c r="P306" s="48">
        <f ca="1">IF(M306&gt;0,N306*100/M306,0)</f>
        <v>8.0058224163027649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IFERROR(__xludf.DUMMYFUNCTION("IMPORTRANGE(""https://docs.google.com/spreadsheets/d/1-uDff_7J0KD5mKrp0Vvzr7lt3OU09vwQwhkpOPPYv2Y/edit?usp=sharing"",""งบพรบ!DY88"")"),184600)</f>
        <v>184600</v>
      </c>
      <c r="M308" s="48">
        <f ca="1">IFERROR(__xludf.DUMMYFUNCTION("IMPORTRANGE(""https://docs.google.com/spreadsheets/d/1-uDff_7J0KD5mKrp0Vvzr7lt3OU09vwQwhkpOPPYv2Y/edit?usp=sharing"",""งบพรบ!ED88"")"),137400)</f>
        <v>137400</v>
      </c>
      <c r="N308" s="48">
        <f ca="1">IFERROR(__xludf.DUMMYFUNCTION("IMPORTRANGE(""https://docs.google.com/spreadsheets/d/1-uDff_7J0KD5mKrp0Vvzr7lt3OU09vwQwhkpOPPYv2Y/edit?usp=sharing"",""งบพรบ!EF88"")"),11000)</f>
        <v>11000</v>
      </c>
      <c r="O308" s="48">
        <f ca="1">IF(L308&gt;0,N308*100/L308,0)</f>
        <v>5.9588299024918747</v>
      </c>
      <c r="P308" s="48">
        <f ca="1">IF(M308&gt;0,N308*100/M308,0)</f>
        <v>8.0058224163027649</v>
      </c>
    </row>
    <row r="309" spans="1:16" ht="18.75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IFERROR(__xludf.DUMMYFUNCTION("IMPORTRANGE(""https://docs.google.com/spreadsheets/d/1-uDff_7J0KD5mKrp0Vvzr7lt3OU09vwQwhkpOPPYv2Y/edit?usp=sharing"",""งบพรบ!EB88"")"),0)</f>
        <v>0</v>
      </c>
      <c r="M311" s="48">
        <f ca="1">IFERROR(__xludf.DUMMYFUNCTION("IMPORTRANGE(""https://docs.google.com/spreadsheets/d/1-uDff_7J0KD5mKrp0Vvzr7lt3OU09vwQwhkpOPPYv2Y/edit?usp=sharing"",""งบพรบ!EE88"")"),0)</f>
        <v>0</v>
      </c>
      <c r="N311" s="48">
        <f ca="1">IFERROR(__xludf.DUMMYFUNCTION("IMPORTRANGE(""https://docs.google.com/spreadsheets/d/1-uDff_7J0KD5mKrp0Vvzr7lt3OU09vwQwhkpOPPYv2Y/edit?usp=sharing"",""งบพรบ!EG88"")"),0)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IFERROR(__xludf.DUMMYFUNCTION("IMPORTRANGE(""https://docs.google.com/spreadsheets/d/1eHaY18a8A9IcSdp1K8H6x8fbOy06t2VsZHhMHf-1x7Y/edit?usp=sharing"",""แผน!EF88"")"),20)</f>
        <v>20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IFERROR(__xludf.DUMMYFUNCTION("IMPORTRANGE(""https://docs.google.com/spreadsheets/d/1eHaY18a8A9IcSdp1K8H6x8fbOy06t2VsZHhMHf-1x7Y/edit?usp=sharing"",""แผน!EG88"")"),4)</f>
        <v>4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IFERROR(__xludf.DUMMYFUNCTION("IMPORTRANGE(""https://docs.google.com/spreadsheets/d/1eHaY18a8A9IcSdp1K8H6x8fbOy06t2VsZHhMHf-1x7Y/edit?usp=sharing"",""แผน!EH88"")"),20)</f>
        <v>20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IFERROR(__xludf.DUMMYFUNCTION("IMPORTRANGE(""https://docs.google.com/spreadsheets/d/1eHaY18a8A9IcSdp1K8H6x8fbOy06t2VsZHhMHf-1x7Y/edit?usp=sharing"",""แผน!EI88"")"),4)</f>
        <v>4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1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20000</v>
      </c>
      <c r="M320" s="141">
        <f ca="1">M321+M322</f>
        <v>20000</v>
      </c>
      <c r="N320" s="141">
        <f ca="1">N321+N322</f>
        <v>1320</v>
      </c>
      <c r="O320" s="141">
        <f ca="1">IF(L320&gt;0,N320*100/L320,0)</f>
        <v>6.6</v>
      </c>
      <c r="P320" s="141">
        <f ca="1">IF(M320&gt;0,N320*100/M320,0)</f>
        <v>6.6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20000</v>
      </c>
      <c r="M322" s="48">
        <f ca="1">M325+M328</f>
        <v>20000</v>
      </c>
      <c r="N322" s="48">
        <f ca="1">N325+N328</f>
        <v>1320</v>
      </c>
      <c r="O322" s="48">
        <f ca="1">IF(L322&gt;0,N322*100/L322,0)</f>
        <v>6.6</v>
      </c>
      <c r="P322" s="48">
        <f ca="1">IF(M322&gt;0,N322*100/M322,0)</f>
        <v>6.6</v>
      </c>
    </row>
    <row r="323" spans="1:16" ht="18.75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20000</v>
      </c>
      <c r="M323" s="48">
        <f ca="1">M324+M325</f>
        <v>20000</v>
      </c>
      <c r="N323" s="48">
        <f ca="1">N324+N325</f>
        <v>1320</v>
      </c>
      <c r="O323" s="48">
        <f ca="1">IF(L323&gt;0,N323*100/L323,0)</f>
        <v>6.6</v>
      </c>
      <c r="P323" s="48">
        <f ca="1">IF(M323&gt;0,N323*100/M323,0)</f>
        <v>6.6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IFERROR(__xludf.DUMMYFUNCTION("IMPORTRANGE(""https://docs.google.com/spreadsheets/d/1-uDff_7J0KD5mKrp0Vvzr7lt3OU09vwQwhkpOPPYv2Y/edit?usp=sharing"",""งบพรบ!EI88"")"),20000)</f>
        <v>20000</v>
      </c>
      <c r="M325" s="48">
        <f ca="1">IFERROR(__xludf.DUMMYFUNCTION("IMPORTRANGE(""https://docs.google.com/spreadsheets/d/1-uDff_7J0KD5mKrp0Vvzr7lt3OU09vwQwhkpOPPYv2Y/edit?usp=sharing"",""งบพรบ!EN88"")"),20000)</f>
        <v>20000</v>
      </c>
      <c r="N325" s="48">
        <f ca="1">IFERROR(__xludf.DUMMYFUNCTION("IMPORTRANGE(""https://docs.google.com/spreadsheets/d/1-uDff_7J0KD5mKrp0Vvzr7lt3OU09vwQwhkpOPPYv2Y/edit?usp=sharing"",""งบพรบ!EP88"")"),1320)</f>
        <v>1320</v>
      </c>
      <c r="O325" s="48">
        <f ca="1">IF(L325&gt;0,N325*100/L325,0)</f>
        <v>6.6</v>
      </c>
      <c r="P325" s="48">
        <f ca="1">IF(M325&gt;0,N325*100/M325,0)</f>
        <v>6.6</v>
      </c>
    </row>
    <row r="326" spans="1:16" ht="18.75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IFERROR(__xludf.DUMMYFUNCTION("IMPORTRANGE(""https://docs.google.com/spreadsheets/d/1-uDff_7J0KD5mKrp0Vvzr7lt3OU09vwQwhkpOPPYv2Y/edit?usp=sharing"",""งบพรบ!EL88"")"),0)</f>
        <v>0</v>
      </c>
      <c r="M328" s="48">
        <f ca="1">IFERROR(__xludf.DUMMYFUNCTION("IMPORTRANGE(""https://docs.google.com/spreadsheets/d/1-uDff_7J0KD5mKrp0Vvzr7lt3OU09vwQwhkpOPPYv2Y/edit?usp=sharing"",""งบพรบ!EO88"")"),0)</f>
        <v>0</v>
      </c>
      <c r="N328" s="48">
        <f ca="1">IFERROR(__xludf.DUMMYFUNCTION("IMPORTRANGE(""https://docs.google.com/spreadsheets/d/1-uDff_7J0KD5mKrp0Vvzr7lt3OU09vwQwhkpOPPYv2Y/edit?usp=sharing"",""งบพรบ!EQ88"")"),0)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IFERROR(__xludf.DUMMYFUNCTION("IMPORTRANGE(""https://docs.google.com/spreadsheets/d/1eHaY18a8A9IcSdp1K8H6x8fbOy06t2VsZHhMHf-1x7Y/edit?usp=sharing"",""แผน!EJ88"")"),1)</f>
        <v>1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3200</v>
      </c>
      <c r="J332" s="352">
        <f ca="1">J344+J347+J348+J349+J353</f>
        <v>1650</v>
      </c>
      <c r="K332" s="353">
        <f ca="1">IF(I332&gt;0,J332*100/I332,0)</f>
        <v>51.5625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113000</v>
      </c>
      <c r="M333" s="141">
        <f ca="1">M334+M335</f>
        <v>88150</v>
      </c>
      <c r="N333" s="141">
        <f ca="1">N334+N335</f>
        <v>18150.93</v>
      </c>
      <c r="O333" s="141">
        <f ca="1">IF(L333&gt;0,N333*100/L333,0)</f>
        <v>16.062769911504425</v>
      </c>
      <c r="P333" s="141">
        <f ca="1">IF(M333&gt;0,N333*100/M333,0)</f>
        <v>20.590958593306862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113000</v>
      </c>
      <c r="M335" s="48">
        <f ca="1">M338+M341</f>
        <v>88150</v>
      </c>
      <c r="N335" s="48">
        <f ca="1">N338+N341</f>
        <v>18150.93</v>
      </c>
      <c r="O335" s="48">
        <f ca="1">IF(L335&gt;0,N335*100/L335,0)</f>
        <v>16.062769911504425</v>
      </c>
      <c r="P335" s="48">
        <f ca="1">IF(M335&gt;0,N335*100/M335,0)</f>
        <v>20.590958593306862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113000</v>
      </c>
      <c r="M336" s="48">
        <f ca="1">M337+M338</f>
        <v>88150</v>
      </c>
      <c r="N336" s="48">
        <f ca="1">N337+N338</f>
        <v>18150.93</v>
      </c>
      <c r="O336" s="48">
        <f ca="1">IF(L336&gt;0,N336*100/L336,0)</f>
        <v>16.062769911504425</v>
      </c>
      <c r="P336" s="48">
        <f ca="1">IF(M336&gt;0,N336*100/M336,0)</f>
        <v>20.590958593306862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IFERROR(__xludf.DUMMYFUNCTION("IMPORTRANGE(""https://docs.google.com/spreadsheets/d/1-uDff_7J0KD5mKrp0Vvzr7lt3OU09vwQwhkpOPPYv2Y/edit?usp=sharing"",""งบพรบ!ES88"")"),113000)</f>
        <v>113000</v>
      </c>
      <c r="M338" s="48">
        <f ca="1">IFERROR(__xludf.DUMMYFUNCTION("IMPORTRANGE(""https://docs.google.com/spreadsheets/d/1-uDff_7J0KD5mKrp0Vvzr7lt3OU09vwQwhkpOPPYv2Y/edit?usp=sharing"",""งบพรบ!EX88"")"),88150)</f>
        <v>88150</v>
      </c>
      <c r="N338" s="48">
        <f ca="1">IFERROR(__xludf.DUMMYFUNCTION("IMPORTRANGE(""https://docs.google.com/spreadsheets/d/1-uDff_7J0KD5mKrp0Vvzr7lt3OU09vwQwhkpOPPYv2Y/edit?usp=sharing"",""งบพรบ!EZ88"")"),18150.93)</f>
        <v>18150.93</v>
      </c>
      <c r="O338" s="48">
        <f ca="1">IF(L338&gt;0,N338*100/L338,0)</f>
        <v>16.062769911504425</v>
      </c>
      <c r="P338" s="48">
        <f ca="1">IF(M338&gt;0,N338*100/M338,0)</f>
        <v>20.590958593306862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IFERROR(__xludf.DUMMYFUNCTION("IMPORTRANGE(""https://docs.google.com/spreadsheets/d/1-uDff_7J0KD5mKrp0Vvzr7lt3OU09vwQwhkpOPPYv2Y/edit?usp=sharing"",""งบพรบ!EV88"")"),0)</f>
        <v>0</v>
      </c>
      <c r="M341" s="48">
        <f ca="1">IFERROR(__xludf.DUMMYFUNCTION("IMPORTRANGE(""https://docs.google.com/spreadsheets/d/1-uDff_7J0KD5mKrp0Vvzr7lt3OU09vwQwhkpOPPYv2Y/edit?usp=sharing"",""งบพรบ!EY88"")"),0)</f>
        <v>0</v>
      </c>
      <c r="N341" s="48">
        <f ca="1">IFERROR(__xludf.DUMMYFUNCTION("IMPORTRANGE(""https://docs.google.com/spreadsheets/d/1-uDff_7J0KD5mKrp0Vvzr7lt3OU09vwQwhkpOPPYv2Y/edit?usp=sharing"",""งบพรบ!FA88"")"),0)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750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IFERROR(__xludf.DUMMYFUNCTION("IMPORTRANGE(""https://docs.google.com/spreadsheets/d/1eHaY18a8A9IcSdp1K8H6x8fbOy06t2VsZHhMHf-1x7Y/edit?usp=sharing"",""แผน!EK88"")"),3200)</f>
        <v>3200</v>
      </c>
      <c r="J344" s="170">
        <f ca="1">IFERROR(__xludf.DUMMYFUNCTION("IMPORTRANGE(""https://docs.google.com/spreadsheets/d/1awYsYK3VOup2i3Pq_Yjnu8DRu_mYwSBnCR2QPthd0rU/edit?usp=sharing"",""ศูนย์ยกเว้นโฉนด!D88"")"),746)</f>
        <v>746</v>
      </c>
      <c r="K344" s="48">
        <f ca="1">IF(I344&gt;0,J344*100/I344,0)</f>
        <v>23.3125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IFERROR(__xludf.DUMMYFUNCTION("IMPORTRANGE(""https://docs.google.com/spreadsheets/d/1eHaY18a8A9IcSdp1K8H6x8fbOy06t2VsZHhMHf-1x7Y/edit?usp=sharing"",""แผน!EL88"")"),5)</f>
        <v>5</v>
      </c>
      <c r="J346" s="170">
        <f ca="1">IFERROR(__xludf.DUMMYFUNCTION("IMPORTRANGE(""https://docs.google.com/spreadsheets/d/1awYsYK3VOup2i3Pq_Yjnu8DRu_mYwSBnCR2QPthd0rU/edit?usp=sharing"",""ศูนย์รวม!E88"")"),0)</f>
        <v>0</v>
      </c>
      <c r="K346" s="48">
        <f ca="1">IF(I346&gt;0,J346*100/I346,0)</f>
        <v>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IFERROR(__xludf.DUMMYFUNCTION("IMPORTRANGE(""https://docs.google.com/spreadsheets/d/1awYsYK3VOup2i3Pq_Yjnu8DRu_mYwSBnCR2QPthd0rU/edit?usp=sharing"",""ศูนย์ยกเว้นโฉนด!F88"")"),0)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IFERROR(__xludf.DUMMYFUNCTION("IMPORTRANGE(""https://docs.google.com/spreadsheets/d/1awYsYK3VOup2i3Pq_Yjnu8DRu_mYwSBnCR2QPthd0rU/edit?usp=sharing"",""ศูนย์ยกเว้นโฉนด!G88"")"),2)</f>
        <v>2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IFERROR(__xludf.DUMMYFUNCTION("IMPORTRANGE(""https://docs.google.com/spreadsheets/d/1awYsYK3VOup2i3Pq_Yjnu8DRu_mYwSBnCR2QPthd0rU/edit?usp=sharing"",""ศูนย์ยกเว้นโฉนด!H88"")"),2)</f>
        <v>2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2118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IFERROR(__xludf.DUMMYFUNCTION("IMPORTRANGE(""https://docs.google.com/spreadsheets/d/1awYsYK3VOup2i3Pq_Yjnu8DRu_mYwSBnCR2QPthd0rU/edit?usp=sharing"",""โฉนดM3!G88"")"),1218)</f>
        <v>1218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IFERROR(__xludf.DUMMYFUNCTION("IMPORTRANGE(""https://docs.google.com/spreadsheets/d/1awYsYK3VOup2i3Pq_Yjnu8DRu_mYwSBnCR2QPthd0rU/edit?usp=sharing"",""โฉนดM3!H88"")"),900)</f>
        <v>900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746400</v>
      </c>
      <c r="M356" s="141">
        <f ca="1">M357+M358</f>
        <v>637400</v>
      </c>
      <c r="N356" s="141">
        <f ca="1">N357+N358</f>
        <v>152180.01</v>
      </c>
      <c r="O356" s="141">
        <f ca="1">IF(L356&gt;0,N356*100/L356,0)</f>
        <v>20.388532958199356</v>
      </c>
      <c r="P356" s="141">
        <f ca="1">IF(M356&gt;0,N356*100/M356,0)</f>
        <v>23.875119234389707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746400</v>
      </c>
      <c r="M358" s="48">
        <f ca="1">M361+M364</f>
        <v>637400</v>
      </c>
      <c r="N358" s="48">
        <f ca="1">N361+N364</f>
        <v>152180.01</v>
      </c>
      <c r="O358" s="48">
        <f ca="1">IF(L358&gt;0,N358*100/L358,0)</f>
        <v>20.388532958199356</v>
      </c>
      <c r="P358" s="48">
        <f ca="1">IF(M358&gt;0,N358*100/M358,0)</f>
        <v>23.875119234389707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746400</v>
      </c>
      <c r="M359" s="48">
        <f ca="1">M360+M361</f>
        <v>637400</v>
      </c>
      <c r="N359" s="48">
        <f ca="1">N360+N361</f>
        <v>152180.01</v>
      </c>
      <c r="O359" s="48">
        <f ca="1">IF(L359&gt;0,N359*100/L359,0)</f>
        <v>20.388532958199356</v>
      </c>
      <c r="P359" s="48">
        <f ca="1">IF(M359&gt;0,N359*100/M359,0)</f>
        <v>23.875119234389707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IFERROR(__xludf.DUMMYFUNCTION("IMPORTRANGE(""https://docs.google.com/spreadsheets/d/1-uDff_7J0KD5mKrp0Vvzr7lt3OU09vwQwhkpOPPYv2Y/edit?usp=sharing"",""งบพรบ!FC88"")"),746400)</f>
        <v>746400</v>
      </c>
      <c r="M361" s="48">
        <f ca="1">IFERROR(__xludf.DUMMYFUNCTION("IMPORTRANGE(""https://docs.google.com/spreadsheets/d/1-uDff_7J0KD5mKrp0Vvzr7lt3OU09vwQwhkpOPPYv2Y/edit?usp=sharing"",""งบพรบ!FH88"")"),637400)</f>
        <v>637400</v>
      </c>
      <c r="N361" s="48">
        <f ca="1">IFERROR(__xludf.DUMMYFUNCTION("IMPORTRANGE(""https://docs.google.com/spreadsheets/d/1-uDff_7J0KD5mKrp0Vvzr7lt3OU09vwQwhkpOPPYv2Y/edit?usp=sharing"",""งบพรบ!FJ88"")"),152180.01)</f>
        <v>152180.01</v>
      </c>
      <c r="O361" s="48">
        <f ca="1">IF(L361&gt;0,N361*100/L361,0)</f>
        <v>20.388532958199356</v>
      </c>
      <c r="P361" s="48">
        <f ca="1">IF(M361&gt;0,N361*100/M361,0)</f>
        <v>23.875119234389707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IFERROR(__xludf.DUMMYFUNCTION("IMPORTRANGE(""https://docs.google.com/spreadsheets/d/1-uDff_7J0KD5mKrp0Vvzr7lt3OU09vwQwhkpOPPYv2Y/edit?usp=sharing"",""งบพรบ!FF88"")"),0)</f>
        <v>0</v>
      </c>
      <c r="M364" s="48">
        <f ca="1">IFERROR(__xludf.DUMMYFUNCTION("IMPORTRANGE(""https://docs.google.com/spreadsheets/d/1-uDff_7J0KD5mKrp0Vvzr7lt3OU09vwQwhkpOPPYv2Y/edit?usp=sharing"",""งบพรบ!FI88"")"),0)</f>
        <v>0</v>
      </c>
      <c r="N364" s="48">
        <f ca="1">IFERROR(__xludf.DUMMYFUNCTION("IMPORTRANGE(""https://docs.google.com/spreadsheets/d/1-uDff_7J0KD5mKrp0Vvzr7lt3OU09vwQwhkpOPPYv2Y/edit?usp=sharing"",""งบพรบ!FK88"")"),0)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341</v>
      </c>
      <c r="J365" s="240">
        <f ca="1">J371</f>
        <v>436</v>
      </c>
      <c r="K365" s="241">
        <f ca="1">IF(I365&gt;0,J365*100/I365,0)</f>
        <v>127.85923753665689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IFERROR(__xludf.DUMMYFUNCTION("IMPORTRANGE(""https://docs.google.com/spreadsheets/d/1tdoBKaGub7dwA3U6UFTqxio9LNnvDCQjHKmttSEBsFQ/edit?usp=sharing"",""จัดที่ดิน!AB88"")"),9)</f>
        <v>9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IFERROR(__xludf.DUMMYFUNCTION("IMPORTRANGE(""https://docs.google.com/spreadsheets/d/1eHaY18a8A9IcSdp1K8H6x8fbOy06t2VsZHhMHf-1x7Y/edit?usp=sharing"",""แผน!EW88"")"),3285)</f>
        <v>3285</v>
      </c>
      <c r="J368" s="368">
        <f ca="1">IFERROR(__xludf.DUMMYFUNCTION("IMPORTRANGE(""https://docs.google.com/spreadsheets/d/1tdoBKaGub7dwA3U6UFTqxio9LNnvDCQjHKmttSEBsFQ/edit?usp=sharing"",""จัดที่ดิน!AC88"")"),80.13)</f>
        <v>80.13</v>
      </c>
      <c r="K368" s="48">
        <f ca="1">IF(I368&gt;0,J368*100/I368,0)</f>
        <v>2.4392694063926941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IFERROR(__xludf.DUMMYFUNCTION("IMPORTRANGE(""https://docs.google.com/spreadsheets/d/1eHaY18a8A9IcSdp1K8H6x8fbOy06t2VsZHhMHf-1x7Y/edit?usp=sharing"",""แผน!EX88"")"),521)</f>
        <v>521</v>
      </c>
      <c r="J369" s="170">
        <f ca="1">IFERROR(__xludf.DUMMYFUNCTION("IMPORTRANGE(""https://docs.google.com/spreadsheets/d/1tdoBKaGub7dwA3U6UFTqxio9LNnvDCQjHKmttSEBsFQ/edit?usp=sharing"",""จัดที่ดิน!AD88"")"),437)</f>
        <v>437</v>
      </c>
      <c r="K369" s="48">
        <f ca="1">IF(I369&gt;0,J369*100/I369,0)</f>
        <v>83.87715930902111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IFERROR(__xludf.DUMMYFUNCTION("IMPORTRANGE(""https://docs.google.com/spreadsheets/d/1tdoBKaGub7dwA3U6UFTqxio9LNnvDCQjHKmttSEBsFQ/edit?usp=sharing"",""จัดที่ดิน!AE88"")"),6407.99)</f>
        <v>6407.99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IFERROR(__xludf.DUMMYFUNCTION("IMPORTRANGE(""https://docs.google.com/spreadsheets/d/1eHaY18a8A9IcSdp1K8H6x8fbOy06t2VsZHhMHf-1x7Y/edit?usp=sharing"",""แผน!EY88"")"),341)</f>
        <v>341</v>
      </c>
      <c r="J371" s="170">
        <f ca="1">IFERROR(__xludf.DUMMYFUNCTION("IMPORTRANGE(""https://docs.google.com/spreadsheets/d/1tdoBKaGub7dwA3U6UFTqxio9LNnvDCQjHKmttSEBsFQ/edit?usp=sharing"",""จัดที่ดิน!AF88"")"),436)</f>
        <v>436</v>
      </c>
      <c r="K371" s="48">
        <f ca="1">IF(I371&gt;0,J371*100/I371,0)</f>
        <v>127.85923753665689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IFERROR(__xludf.DUMMYFUNCTION("IMPORTRANGE(""https://docs.google.com/spreadsheets/d/1tdoBKaGub7dwA3U6UFTqxio9LNnvDCQjHKmttSEBsFQ/edit?usp=sharing"",""จัดที่ดิน!AG88"")"),6401.77)</f>
        <v>6401.77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IFERROR(__xludf.DUMMYFUNCTION("IMPORTRANGE(""https://docs.google.com/spreadsheets/d/1-uDff_7J0KD5mKrp0Vvzr7lt3OU09vwQwhkpOPPYv2Y/edit?usp=sharing"",""งบพรบ!FM88"")"),0)</f>
        <v>0</v>
      </c>
      <c r="M382" s="51">
        <f ca="1">IFERROR(__xludf.DUMMYFUNCTION("IMPORTRANGE(""https://docs.google.com/spreadsheets/d/1-uDff_7J0KD5mKrp0Vvzr7lt3OU09vwQwhkpOPPYv2Y/edit?usp=sharing"",""งบพรบ!FR88"")"),0)</f>
        <v>0</v>
      </c>
      <c r="N382" s="51">
        <f ca="1">IFERROR(__xludf.DUMMYFUNCTION("IMPORTRANGE(""https://docs.google.com/spreadsheets/d/1-uDff_7J0KD5mKrp0Vvzr7lt3OU09vwQwhkpOPPYv2Y/edit?usp=sharing"",""งบพรบ!FT88"")"),0)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IFERROR(__xludf.DUMMYFUNCTION("IMPORTRANGE(""https://docs.google.com/spreadsheets/d/1-uDff_7J0KD5mKrp0Vvzr7lt3OU09vwQwhkpOPPYv2Y/edit?usp=sharing"",""งบพรบ!FP88"")"),0)</f>
        <v>0</v>
      </c>
      <c r="M385" s="51">
        <f ca="1">IFERROR(__xludf.DUMMYFUNCTION("IMPORTRANGE(""https://docs.google.com/spreadsheets/d/1-uDff_7J0KD5mKrp0Vvzr7lt3OU09vwQwhkpOPPYv2Y/edit?usp=sharing"",""งบพรบ!FS88"")"),0)</f>
        <v>0</v>
      </c>
      <c r="N385" s="51">
        <f ca="1">IFERROR(__xludf.DUMMYFUNCTION("IMPORTRANGE(""https://docs.google.com/spreadsheets/d/1-uDff_7J0KD5mKrp0Vvzr7lt3OU09vwQwhkpOPPYv2Y/edit?usp=sharing"",""งบพรบ!FU88"")"),0)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3" orientation="portrait" r:id="rId1"/>
  <headerFooter>
    <oddFooter>&amp;Cหน้า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F789D-0CBA-4AA5-AD07-36C3D1564126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5" bestFit="1" customWidth="1"/>
    <col min="11" max="11" width="12.28515625" bestFit="1" customWidth="1"/>
    <col min="12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154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1659580</v>
      </c>
      <c r="M18" s="34">
        <f ca="1">M19+M20</f>
        <v>1443620</v>
      </c>
      <c r="N18" s="34">
        <f ca="1">N19+N20</f>
        <v>550139.05000000005</v>
      </c>
      <c r="O18" s="34">
        <f ca="1">IF(L18&gt;0,N18*100/L18,0)</f>
        <v>33.149293797225809</v>
      </c>
      <c r="P18" s="34">
        <f ca="1">IF(M18&gt;0,N18*100/M18,0)</f>
        <v>38.108300660838729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1659580</v>
      </c>
      <c r="M20" s="40">
        <f ca="1">M23+M26</f>
        <v>1443620</v>
      </c>
      <c r="N20" s="40">
        <f ca="1">N23+N26</f>
        <v>550139.05000000005</v>
      </c>
      <c r="O20" s="40">
        <f ca="1">IF(L20&gt;0,N20*100/L20,0)</f>
        <v>33.149293797225809</v>
      </c>
      <c r="P20" s="40">
        <f ca="1">IF(M20&gt;0,N20*100/M20,0)</f>
        <v>38.108300660838729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1659580</v>
      </c>
      <c r="M21" s="48">
        <f ca="1">M22+M23</f>
        <v>1443620</v>
      </c>
      <c r="N21" s="48">
        <f ca="1">N22+N23</f>
        <v>550139.05000000005</v>
      </c>
      <c r="O21" s="48">
        <f ca="1">IF(L21&gt;0,N21*100/L21,0)</f>
        <v>33.149293797225809</v>
      </c>
      <c r="P21" s="48">
        <f ca="1">IF(M21&gt;0,N21*100/M21,0)</f>
        <v>38.108300660838729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1659580</v>
      </c>
      <c r="M23" s="48">
        <f ca="1">M49+M64+M77+M99+M130+M144+M162+M191+M178+M271+M287+M308+M325+M338+M361+M382</f>
        <v>1443620</v>
      </c>
      <c r="N23" s="48">
        <f ca="1">N49+N64+N77+N99+N130+N144+N162+N191+N178+N271+N287+N308+N325+N338+N361+N382</f>
        <v>550139.05000000005</v>
      </c>
      <c r="O23" s="48">
        <f ca="1">IF(L23&gt;0,N23*100/L23,0)</f>
        <v>33.149293797225809</v>
      </c>
      <c r="P23" s="48">
        <f ca="1">IF(M23&gt;0,N23*100/M23,0)</f>
        <v>38.108300660838729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1659580</v>
      </c>
      <c r="M40" s="65">
        <f ca="1">M44+M59+M72+M94+M125+M139+M157+M173+M186+M266+M282+M303+M320+M333+M356</f>
        <v>1443620</v>
      </c>
      <c r="N40" s="65">
        <f ca="1">N44+N59+N72+N94+N125+N139+N157+N173+N186+N266+N282+N303+N320+N333+N356</f>
        <v>550139.05000000005</v>
      </c>
      <c r="O40" s="65">
        <f ca="1">IF(L40&gt;0,N40*100/L40,0)</f>
        <v>33.149293797225809</v>
      </c>
      <c r="P40" s="65">
        <f ca="1">IF(M40&gt;0,N40*100/M40,0)</f>
        <v>38.108300660838729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402550</v>
      </c>
      <c r="M44" s="84">
        <f ca="1">M45+M46</f>
        <v>402550</v>
      </c>
      <c r="N44" s="84">
        <f ca="1">N45+N46</f>
        <v>133600</v>
      </c>
      <c r="O44" s="84">
        <f ca="1">IF(L44&gt;0,N44*100/L44,0)</f>
        <v>33.188423798285925</v>
      </c>
      <c r="P44" s="84">
        <f ca="1">IF(M44&gt;0,N44*100/M44,0)</f>
        <v>33.188423798285925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402550</v>
      </c>
      <c r="M46" s="90">
        <f ca="1">M49+M52</f>
        <v>402550</v>
      </c>
      <c r="N46" s="90">
        <f ca="1">N49+N52</f>
        <v>133600</v>
      </c>
      <c r="O46" s="90">
        <f ca="1">IF(L46&gt;0,N46*100/L46,0)</f>
        <v>33.188423798285925</v>
      </c>
      <c r="P46" s="90">
        <f ca="1">IF(M46&gt;0,N46*100/M46,0)</f>
        <v>33.188423798285925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402550</v>
      </c>
      <c r="M47" s="48">
        <f ca="1">M48+M49</f>
        <v>402550</v>
      </c>
      <c r="N47" s="48">
        <f ca="1">N48+N49</f>
        <v>133600</v>
      </c>
      <c r="O47" s="48">
        <f ca="1">IF(L47&gt;0,N47*100/L47,0)</f>
        <v>33.188423798285925</v>
      </c>
      <c r="P47" s="48">
        <f ca="1">IF(M47&gt;0,N47*100/M47,0)</f>
        <v>33.188423798285925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IFERROR(__xludf.DUMMYFUNCTION("IMPORTRANGE(""https://docs.google.com/spreadsheets/d/1-uDff_7J0KD5mKrp0Vvzr7lt3OU09vwQwhkpOPPYv2Y/edit?usp=sharing"",""งบพรบ!P76"")"),402550)</f>
        <v>402550</v>
      </c>
      <c r="M49" s="48">
        <f ca="1">IFERROR(__xludf.DUMMYFUNCTION("IMPORTRANGE(""https://docs.google.com/spreadsheets/d/1-uDff_7J0KD5mKrp0Vvzr7lt3OU09vwQwhkpOPPYv2Y/edit?usp=sharing"",""งบพรบ!V76"")"),402550)</f>
        <v>402550</v>
      </c>
      <c r="N49" s="48">
        <f ca="1">IFERROR(__xludf.DUMMYFUNCTION("IMPORTRANGE(""https://docs.google.com/spreadsheets/d/1-uDff_7J0KD5mKrp0Vvzr7lt3OU09vwQwhkpOPPYv2Y/edit?usp=sharing"",""งบพรบ!Y76"")"),133600)</f>
        <v>133600</v>
      </c>
      <c r="O49" s="48">
        <f ca="1">IF(L49&gt;0,N49*100/L49,0)</f>
        <v>33.188423798285925</v>
      </c>
      <c r="P49" s="48">
        <f ca="1">IF(M49&gt;0,N49*100/M49,0)</f>
        <v>33.188423798285925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IFERROR(__xludf.DUMMYFUNCTION("IMPORTRANGE(""https://docs.google.com/spreadsheets/d/1-uDff_7J0KD5mKrp0Vvzr7lt3OU09vwQwhkpOPPYv2Y/edit?usp=sharing"",""งบพรบ!S76"")"),0)</f>
        <v>0</v>
      </c>
      <c r="M52" s="48">
        <f ca="1">IFERROR(__xludf.DUMMYFUNCTION("IMPORTRANGE(""https://docs.google.com/spreadsheets/d/1-uDff_7J0KD5mKrp0Vvzr7lt3OU09vwQwhkpOPPYv2Y/edit?usp=sharing"",""งบพรบ!W76"")"),0)</f>
        <v>0</v>
      </c>
      <c r="N52" s="48">
        <f ca="1">IFERROR(__xludf.DUMMYFUNCTION("IMPORTRANGE(""https://docs.google.com/spreadsheets/d/1-uDff_7J0KD5mKrp0Vvzr7lt3OU09vwQwhkpOPPYv2Y/edit?usp=sharing"",""งบพรบ!Z76"")"),0)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465900</v>
      </c>
      <c r="M59" s="113">
        <f ca="1">M60+M61</f>
        <v>410990</v>
      </c>
      <c r="N59" s="113">
        <f ca="1">N60+N61</f>
        <v>307128.05</v>
      </c>
      <c r="O59" s="113">
        <f ca="1">IF(L59&gt;0,N59*100/L59,0)</f>
        <v>65.921453101523937</v>
      </c>
      <c r="P59" s="113">
        <f ca="1">IF(M59&gt;0,N59*100/M59,0)</f>
        <v>74.7288376846152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465900</v>
      </c>
      <c r="M61" s="119">
        <f ca="1">M64+M67</f>
        <v>410990</v>
      </c>
      <c r="N61" s="119">
        <f ca="1">N64+N67</f>
        <v>307128.05</v>
      </c>
      <c r="O61" s="119">
        <f ca="1">IF(L61&gt;0,N61*100/L61,0)</f>
        <v>65.921453101523937</v>
      </c>
      <c r="P61" s="119">
        <f ca="1">IF(M61&gt;0,N61*100/M61,0)</f>
        <v>74.7288376846152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465900</v>
      </c>
      <c r="M62" s="48">
        <f ca="1">M63+M64</f>
        <v>410990</v>
      </c>
      <c r="N62" s="48">
        <f ca="1">N63+N64</f>
        <v>307128.05</v>
      </c>
      <c r="O62" s="48">
        <f ca="1">IF(L62&gt;0,N62*100/L62,0)</f>
        <v>65.921453101523937</v>
      </c>
      <c r="P62" s="48">
        <f ca="1">IF(M62&gt;0,N62*100/M62,0)</f>
        <v>74.7288376846152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IFERROR(__xludf.DUMMYFUNCTION("IMPORTRANGE(""https://docs.google.com/spreadsheets/d/1-uDff_7J0KD5mKrp0Vvzr7lt3OU09vwQwhkpOPPYv2Y/edit?usp=sharing"",""งบพรบ!AC76"")"),465900)</f>
        <v>465900</v>
      </c>
      <c r="M64" s="48">
        <f ca="1">IFERROR(__xludf.DUMMYFUNCTION("IMPORTRANGE(""https://docs.google.com/spreadsheets/d/1-uDff_7J0KD5mKrp0Vvzr7lt3OU09vwQwhkpOPPYv2Y/edit?usp=sharing"",""งบพรบ!AH76"")"),410990)</f>
        <v>410990</v>
      </c>
      <c r="N64" s="48">
        <f ca="1">IFERROR(__xludf.DUMMYFUNCTION("IMPORTRANGE(""https://docs.google.com/spreadsheets/d/1-uDff_7J0KD5mKrp0Vvzr7lt3OU09vwQwhkpOPPYv2Y/edit?usp=sharing"",""งบพรบ!AJ76"")"),307128.05)</f>
        <v>307128.05</v>
      </c>
      <c r="O64" s="48">
        <f ca="1">IF(L64&gt;0,N64*100/L64,0)</f>
        <v>65.921453101523937</v>
      </c>
      <c r="P64" s="48">
        <f ca="1">IF(M64&gt;0,N64*100/M64,0)</f>
        <v>74.7288376846152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IFERROR(__xludf.DUMMYFUNCTION("IMPORTRANGE(""https://docs.google.com/spreadsheets/d/1-uDff_7J0KD5mKrp0Vvzr7lt3OU09vwQwhkpOPPYv2Y/edit?usp=sharing"",""งบพรบ!AF76"")"),0)</f>
        <v>0</v>
      </c>
      <c r="M67" s="59">
        <f ca="1">IFERROR(__xludf.DUMMYFUNCTION("IMPORTRANGE(""https://docs.google.com/spreadsheets/d/1-uDff_7J0KD5mKrp0Vvzr7lt3OU09vwQwhkpOPPYv2Y/edit?usp=sharing"",""งบพรบ!AI76"")"),0)</f>
        <v>0</v>
      </c>
      <c r="N67" s="59">
        <f ca="1">IFERROR(__xludf.DUMMYFUNCTION("IMPORTRANGE(""https://docs.google.com/spreadsheets/d/1-uDff_7J0KD5mKrp0Vvzr7lt3OU09vwQwhkpOPPYv2Y/edit?usp=sharing"",""งบพรบ!AK76"")"),0)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IFERROR(__xludf.DUMMYFUNCTION("IMPORTRANGE(""https://docs.google.com/spreadsheets/d/1-uDff_7J0KD5mKrp0Vvzr7lt3OU09vwQwhkpOPPYv2Y/edit?usp=sharing"",""งบพรบ!AM76"")"),0)</f>
        <v>0</v>
      </c>
      <c r="M77" s="48">
        <f ca="1">IFERROR(__xludf.DUMMYFUNCTION("IMPORTRANGE(""https://docs.google.com/spreadsheets/d/1-uDff_7J0KD5mKrp0Vvzr7lt3OU09vwQwhkpOPPYv2Y/edit?usp=sharing"",""งบพรบ!AR76"")"),0)</f>
        <v>0</v>
      </c>
      <c r="N77" s="48">
        <f ca="1">IFERROR(__xludf.DUMMYFUNCTION("IMPORTRANGE(""https://docs.google.com/spreadsheets/d/1-uDff_7J0KD5mKrp0Vvzr7lt3OU09vwQwhkpOPPYv2Y/edit?usp=sharing"",""งบพรบ!AT76"")"),0)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IFERROR(__xludf.DUMMYFUNCTION("IMPORTRANGE(""https://docs.google.com/spreadsheets/d/1-uDff_7J0KD5mKrp0Vvzr7lt3OU09vwQwhkpOPPYv2Y/edit?usp=sharing"",""งบพรบ!AP76"")"),0)</f>
        <v>0</v>
      </c>
      <c r="M80" s="48">
        <f ca="1">IFERROR(__xludf.DUMMYFUNCTION("IMPORTRANGE(""https://docs.google.com/spreadsheets/d/1-uDff_7J0KD5mKrp0Vvzr7lt3OU09vwQwhkpOPPYv2Y/edit?usp=sharing"",""งบพรบ!AS76"")"),0)</f>
        <v>0</v>
      </c>
      <c r="N80" s="48">
        <f ca="1">IFERROR(__xludf.DUMMYFUNCTION("IMPORTRANGE(""https://docs.google.com/spreadsheets/d/1-uDff_7J0KD5mKrp0Vvzr7lt3OU09vwQwhkpOPPYv2Y/edit?usp=sharing"",""งบพรบ!AU76"")"),0)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IFERROR(__xludf.DUMMYFUNCTION("IMPORTRANGE(""https://docs.google.com/spreadsheets/d/1eHaY18a8A9IcSdp1K8H6x8fbOy06t2VsZHhMHf-1x7Y/edit?usp=sharing"",""แผน!H76"")"),0)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IFERROR(__xludf.DUMMYFUNCTION("IMPORTRANGE(""https://docs.google.com/spreadsheets/d/1eHaY18a8A9IcSdp1K8H6x8fbOy06t2VsZHhMHf-1x7Y/edit?usp=sharing"",""แผน!I76"")"),0)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IFERROR(__xludf.DUMMYFUNCTION("IMPORTRANGE(""https://docs.google.com/spreadsheets/d/1eHaY18a8A9IcSdp1K8H6x8fbOy06t2VsZHhMHf-1x7Y/edit?usp=sharing"",""แผน!F76"")"),0)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IFERROR(__xludf.DUMMYFUNCTION("IMPORTRANGE(""https://docs.google.com/spreadsheets/d/1eHaY18a8A9IcSdp1K8H6x8fbOy06t2VsZHhMHf-1x7Y/edit?usp=sharing"",""แผน!G76"")"),0)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IFERROR(__xludf.DUMMYFUNCTION("IMPORTRANGE(""https://docs.google.com/spreadsheets/d/1eHaY18a8A9IcSdp1K8H6x8fbOy06t2VsZHhMHf-1x7Y/edit?usp=sharing"",""แผน!D76"")"),0)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IFERROR(__xludf.DUMMYFUNCTION("IMPORTRANGE(""https://docs.google.com/spreadsheets/d/1eHaY18a8A9IcSdp1K8H6x8fbOy06t2VsZHhMHf-1x7Y/edit?usp=sharing"",""แผน!E76"")"),0)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IFERROR(__xludf.DUMMYFUNCTION("IMPORTRANGE(""https://docs.google.com/spreadsheets/d/1eHaY18a8A9IcSdp1K8H6x8fbOy06t2VsZHhMHf-1x7Y/edit?usp=sharing"",""แผน!J76"")"),0)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IFERROR(__xludf.DUMMYFUNCTION("IMPORTRANGE(""https://docs.google.com/spreadsheets/d/1-uDff_7J0KD5mKrp0Vvzr7lt3OU09vwQwhkpOPPYv2Y/edit?usp=sharing"",""งบพรบ!AW76"")"),0)</f>
        <v>0</v>
      </c>
      <c r="M99" s="48">
        <f ca="1">IFERROR(__xludf.DUMMYFUNCTION("IMPORTRANGE(""https://docs.google.com/spreadsheets/d/1-uDff_7J0KD5mKrp0Vvzr7lt3OU09vwQwhkpOPPYv2Y/edit?usp=sharing"",""งบพรบ!BB76"")"),0)</f>
        <v>0</v>
      </c>
      <c r="N99" s="48">
        <f ca="1">IFERROR(__xludf.DUMMYFUNCTION("IMPORTRANGE(""https://docs.google.com/spreadsheets/d/1-uDff_7J0KD5mKrp0Vvzr7lt3OU09vwQwhkpOPPYv2Y/edit?usp=sharing"",""งบพรบ!BD76"")"),0)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IFERROR(__xludf.DUMMYFUNCTION("IMPORTRANGE(""https://docs.google.com/spreadsheets/d/1-uDff_7J0KD5mKrp0Vvzr7lt3OU09vwQwhkpOPPYv2Y/edit?usp=sharing"",""งบพรบ!AZ76"")"),0)</f>
        <v>0</v>
      </c>
      <c r="M102" s="48">
        <f ca="1">IFERROR(__xludf.DUMMYFUNCTION("IMPORTRANGE(""https://docs.google.com/spreadsheets/d/1-uDff_7J0KD5mKrp0Vvzr7lt3OU09vwQwhkpOPPYv2Y/edit?usp=sharing"",""งบพรบ!BC76"")"),0)</f>
        <v>0</v>
      </c>
      <c r="N102" s="48">
        <f ca="1">IFERROR(__xludf.DUMMYFUNCTION("IMPORTRANGE(""https://docs.google.com/spreadsheets/d/1-uDff_7J0KD5mKrp0Vvzr7lt3OU09vwQwhkpOPPYv2Y/edit?usp=sharing"",""งบพรบ!BE76"")"),0)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IFERROR(__xludf.DUMMYFUNCTION("IMPORTRANGE(""https://docs.google.com/spreadsheets/d/1eHaY18a8A9IcSdp1K8H6x8fbOy06t2VsZHhMHf-1x7Y/edit?usp=sharing"",""แผน!N76"")"),0)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IFERROR(__xludf.DUMMYFUNCTION("IMPORTRANGE(""https://docs.google.com/spreadsheets/d/1eHaY18a8A9IcSdp1K8H6x8fbOy06t2VsZHhMHf-1x7Y/edit?usp=sharing"",""แผน!O76"")"),0)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IFERROR(__xludf.DUMMYFUNCTION("IMPORTRANGE(""https://docs.google.com/spreadsheets/d/1eHaY18a8A9IcSdp1K8H6x8fbOy06t2VsZHhMHf-1x7Y/edit?usp=sharing"",""แผน!R76"")"),0)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IFERROR(__xludf.DUMMYFUNCTION("IMPORTRANGE(""https://docs.google.com/spreadsheets/d/1-uDff_7J0KD5mKrp0Vvzr7lt3OU09vwQwhkpOPPYv2Y/edit?usp=sharing"",""งบพรบ!BG76"")"),0)</f>
        <v>0</v>
      </c>
      <c r="M130" s="178">
        <f ca="1">IFERROR(__xludf.DUMMYFUNCTION("IMPORTRANGE(""https://docs.google.com/spreadsheets/d/1-uDff_7J0KD5mKrp0Vvzr7lt3OU09vwQwhkpOPPYv2Y/edit?usp=sharing"",""งบพรบ!BL76"")"),0)</f>
        <v>0</v>
      </c>
      <c r="N130" s="178">
        <f ca="1">IFERROR(__xludf.DUMMYFUNCTION("IMPORTRANGE(""https://docs.google.com/spreadsheets/d/1-uDff_7J0KD5mKrp0Vvzr7lt3OU09vwQwhkpOPPYv2Y/edit?usp=sharing"",""งบพรบ!BN76"")"),0)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IFERROR(__xludf.DUMMYFUNCTION("IMPORTRANGE(""https://docs.google.com/spreadsheets/d/1-uDff_7J0KD5mKrp0Vvzr7lt3OU09vwQwhkpOPPYv2Y/edit?usp=sharing"",""งบพรบ!BJ76"")"),0)</f>
        <v>0</v>
      </c>
      <c r="M133" s="178">
        <f ca="1">IFERROR(__xludf.DUMMYFUNCTION("IMPORTRANGE(""https://docs.google.com/spreadsheets/d/1-uDff_7J0KD5mKrp0Vvzr7lt3OU09vwQwhkpOPPYv2Y/edit?usp=sharing"",""งบพรบ!BM76"")"),0)</f>
        <v>0</v>
      </c>
      <c r="N133" s="178">
        <f ca="1">IFERROR(__xludf.DUMMYFUNCTION("IMPORTRANGE(""https://docs.google.com/spreadsheets/d/1-uDff_7J0KD5mKrp0Vvzr7lt3OU09vwQwhkpOPPYv2Y/edit?usp=sharing"",""งบพรบ!BO76"")"),0)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20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2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111200</v>
      </c>
      <c r="M139" s="141">
        <f ca="1">M140+M141</f>
        <v>83600</v>
      </c>
      <c r="N139" s="141">
        <f ca="1">N140+N141</f>
        <v>24320</v>
      </c>
      <c r="O139" s="141">
        <f ca="1">IF(L139&gt;0,N139*100/L139,0)</f>
        <v>21.870503597122301</v>
      </c>
      <c r="P139" s="141">
        <f ca="1">IF(M139&gt;0,N139*100/M139,0)</f>
        <v>29.09090909090909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111200</v>
      </c>
      <c r="M141" s="48">
        <f ca="1">M144+M147</f>
        <v>83600</v>
      </c>
      <c r="N141" s="48">
        <f ca="1">N144+N147</f>
        <v>24320</v>
      </c>
      <c r="O141" s="48">
        <f ca="1">IF(L141&gt;0,N141*100/L141,0)</f>
        <v>21.870503597122301</v>
      </c>
      <c r="P141" s="48">
        <f ca="1">IF(M141&gt;0,N141*100/M141,0)</f>
        <v>29.09090909090909</v>
      </c>
    </row>
    <row r="142" spans="1:16" ht="18.75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111200</v>
      </c>
      <c r="M142" s="48">
        <f ca="1">M143+M144</f>
        <v>83600</v>
      </c>
      <c r="N142" s="48">
        <f ca="1">N143+N144</f>
        <v>24320</v>
      </c>
      <c r="O142" s="48">
        <f ca="1">IF(L142&gt;0,N142*100/L142,0)</f>
        <v>21.870503597122301</v>
      </c>
      <c r="P142" s="48">
        <f ca="1">IF(M142&gt;0,N142*100/M142,0)</f>
        <v>29.09090909090909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IFERROR(__xludf.DUMMYFUNCTION("IMPORTRANGE(""https://docs.google.com/spreadsheets/d/1-uDff_7J0KD5mKrp0Vvzr7lt3OU09vwQwhkpOPPYv2Y/edit?usp=sharing"",""งบพรบ!BQ76"")"),111200)</f>
        <v>111200</v>
      </c>
      <c r="M144" s="48">
        <f ca="1">IFERROR(__xludf.DUMMYFUNCTION("IMPORTRANGE(""https://docs.google.com/spreadsheets/d/1-uDff_7J0KD5mKrp0Vvzr7lt3OU09vwQwhkpOPPYv2Y/edit?usp=sharing"",""งบพรบ!BV76"")"),83600)</f>
        <v>83600</v>
      </c>
      <c r="N144" s="48">
        <f ca="1">IFERROR(__xludf.DUMMYFUNCTION("IMPORTRANGE(""https://docs.google.com/spreadsheets/d/1-uDff_7J0KD5mKrp0Vvzr7lt3OU09vwQwhkpOPPYv2Y/edit?usp=sharing"",""งบพรบ!BX76"")"),24320)</f>
        <v>24320</v>
      </c>
      <c r="O144" s="48">
        <f ca="1">IF(L144&gt;0,N144*100/L144,0)</f>
        <v>21.870503597122301</v>
      </c>
      <c r="P144" s="48">
        <f ca="1">IF(M144&gt;0,N144*100/M144,0)</f>
        <v>29.09090909090909</v>
      </c>
    </row>
    <row r="145" spans="1:16" ht="18.75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IFERROR(__xludf.DUMMYFUNCTION("IMPORTRANGE(""https://docs.google.com/spreadsheets/d/1-uDff_7J0KD5mKrp0Vvzr7lt3OU09vwQwhkpOPPYv2Y/edit?usp=sharing"",""งบพรบ!BT76"")"),0)</f>
        <v>0</v>
      </c>
      <c r="M147" s="48">
        <f ca="1">IFERROR(__xludf.DUMMYFUNCTION("IMPORTRANGE(""https://docs.google.com/spreadsheets/d/1-uDff_7J0KD5mKrp0Vvzr7lt3OU09vwQwhkpOPPYv2Y/edit?usp=sharing"",""งบพรบ!BW76"")"),0)</f>
        <v>0</v>
      </c>
      <c r="N147" s="48">
        <f ca="1">IFERROR(__xludf.DUMMYFUNCTION("IMPORTRANGE(""https://docs.google.com/spreadsheets/d/1-uDff_7J0KD5mKrp0Vvzr7lt3OU09vwQwhkpOPPYv2Y/edit?usp=sharing"",""งบพรบ!BY76"")"),0)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IFERROR(__xludf.DUMMYFUNCTION("IMPORTRANGE(""https://docs.google.com/spreadsheets/d/1eHaY18a8A9IcSdp1K8H6x8fbOy06t2VsZHhMHf-1x7Y/edit?usp=sharing"",""แผน!U76"")"),0)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IFERROR(__xludf.DUMMYFUNCTION("IMPORTRANGE(""https://docs.google.com/spreadsheets/d/1eHaY18a8A9IcSdp1K8H6x8fbOy06t2VsZHhMHf-1x7Y/edit?usp=sharing"",""แผน!V76"")"),0)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IFERROR(__xludf.DUMMYFUNCTION("IMPORTRANGE(""https://docs.google.com/spreadsheets/d/1eHaY18a8A9IcSdp1K8H6x8fbOy06t2VsZHhMHf-1x7Y/edit?usp=sharing"",""แผน!W76"")"),20)</f>
        <v>20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IFERROR(__xludf.DUMMYFUNCTION("IMPORTRANGE(""https://docs.google.com/spreadsheets/d/1eHaY18a8A9IcSdp1K8H6x8fbOy06t2VsZHhMHf-1x7Y/edit?usp=sharing"",""แผน!X76"")"),2)</f>
        <v>2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IFERROR(__xludf.DUMMYFUNCTION("IMPORTRANGE(""https://docs.google.com/spreadsheets/d/1eHaY18a8A9IcSdp1K8H6x8fbOy06t2VsZHhMHf-1x7Y/edit?usp=sharing"",""แผน!Y76"")"),0)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I167</f>
        <v>10</v>
      </c>
      <c r="J156" s="136">
        <f>J167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3000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3000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3000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IFERROR(__xludf.DUMMYFUNCTION("IMPORTRANGE(""https://docs.google.com/spreadsheets/d/1-uDff_7J0KD5mKrp0Vvzr7lt3OU09vwQwhkpOPPYv2Y/edit?usp=sharing"",""งบพรบ!CA76"")"),3000)</f>
        <v>3000</v>
      </c>
      <c r="M162" s="48">
        <f ca="1">IFERROR(__xludf.DUMMYFUNCTION("IMPORTRANGE(""https://docs.google.com/spreadsheets/d/1-uDff_7J0KD5mKrp0Vvzr7lt3OU09vwQwhkpOPPYv2Y/edit?usp=sharing"",""งบพรบ!CF76"")"),0)</f>
        <v>0</v>
      </c>
      <c r="N162" s="48">
        <f ca="1">IFERROR(__xludf.DUMMYFUNCTION("IMPORTRANGE(""https://docs.google.com/spreadsheets/d/1-uDff_7J0KD5mKrp0Vvzr7lt3OU09vwQwhkpOPPYv2Y/edit?usp=sharing"",""งบพรบ!CH76"")"),0)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IFERROR(__xludf.DUMMYFUNCTION("IMPORTRANGE(""https://docs.google.com/spreadsheets/d/1-uDff_7J0KD5mKrp0Vvzr7lt3OU09vwQwhkpOPPYv2Y/edit?usp=sharing"",""งบพรบ!CD76"")"),0)</f>
        <v>0</v>
      </c>
      <c r="M165" s="48">
        <f ca="1">IFERROR(__xludf.DUMMYFUNCTION("IMPORTRANGE(""https://docs.google.com/spreadsheets/d/1-uDff_7J0KD5mKrp0Vvzr7lt3OU09vwQwhkpOPPYv2Y/edit?usp=sharing"",""งบพรบ!CG76"")"),0)</f>
        <v>0</v>
      </c>
      <c r="N165" s="48">
        <f ca="1">IFERROR(__xludf.DUMMYFUNCTION("IMPORTRANGE(""https://docs.google.com/spreadsheets/d/1-uDff_7J0KD5mKrp0Vvzr7lt3OU09vwQwhkpOPPYv2Y/edit?usp=sharing"",""งบพรบ!CI76"")"),0)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IFERROR(__xludf.DUMMYFUNCTION("IMPORTRANGE(""https://docs.google.com/spreadsheets/d/1eHaY18a8A9IcSdp1K8H6x8fbOy06t2VsZHhMHf-1x7Y/edit?usp=sharing"",""แผน!Z76"")"),10)</f>
        <v>10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I167</f>
        <v>10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I167</f>
        <v>10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hidden="1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0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hidden="1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0</v>
      </c>
      <c r="M173" s="141">
        <f ca="1">M174+M175</f>
        <v>0</v>
      </c>
      <c r="N173" s="141">
        <f ca="1">N174+N175</f>
        <v>0</v>
      </c>
      <c r="O173" s="141">
        <f ca="1">IF(L173&gt;0,N173*100/L173,0)</f>
        <v>0</v>
      </c>
      <c r="P173" s="141">
        <f ca="1">IF(M173&gt;0,N173*100/M173,0)</f>
        <v>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hidden="1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0</v>
      </c>
      <c r="M175" s="48">
        <f ca="1">M178+M181</f>
        <v>0</v>
      </c>
      <c r="N175" s="48">
        <f ca="1">N178+N181</f>
        <v>0</v>
      </c>
      <c r="O175" s="48">
        <f ca="1">IF(L175&gt;0,N175*100/L175,0)</f>
        <v>0</v>
      </c>
      <c r="P175" s="48">
        <f ca="1">IF(M175&gt;0,N175*100/M175,0)</f>
        <v>0</v>
      </c>
    </row>
    <row r="176" spans="1:16" ht="18.75" hidden="1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0</v>
      </c>
      <c r="M176" s="48">
        <f ca="1">M177+M178</f>
        <v>0</v>
      </c>
      <c r="N176" s="48">
        <f ca="1">N177+N178</f>
        <v>0</v>
      </c>
      <c r="O176" s="48">
        <f ca="1">IF(L176&gt;0,N176*100/L176,0)</f>
        <v>0</v>
      </c>
      <c r="P176" s="48">
        <f ca="1">IF(M176&gt;0,N176*100/M176,0)</f>
        <v>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hidden="1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IFERROR(__xludf.DUMMYFUNCTION("IMPORTRANGE(""https://docs.google.com/spreadsheets/d/1-uDff_7J0KD5mKrp0Vvzr7lt3OU09vwQwhkpOPPYv2Y/edit?usp=sharing"",""งบพรบ!CK76"")"),0)</f>
        <v>0</v>
      </c>
      <c r="M178" s="48">
        <f ca="1">IFERROR(__xludf.DUMMYFUNCTION("IMPORTRANGE(""https://docs.google.com/spreadsheets/d/1-uDff_7J0KD5mKrp0Vvzr7lt3OU09vwQwhkpOPPYv2Y/edit?usp=sharing"",""งบพรบ!CP76"")"),0)</f>
        <v>0</v>
      </c>
      <c r="N178" s="48">
        <f ca="1">IFERROR(__xludf.DUMMYFUNCTION("IMPORTRANGE(""https://docs.google.com/spreadsheets/d/1-uDff_7J0KD5mKrp0Vvzr7lt3OU09vwQwhkpOPPYv2Y/edit?usp=sharing"",""งบพรบ!CR76"")"),0)</f>
        <v>0</v>
      </c>
      <c r="O178" s="48">
        <f ca="1">IF(L178&gt;0,N178*100/L178,0)</f>
        <v>0</v>
      </c>
      <c r="P178" s="48">
        <f ca="1">IF(M178&gt;0,N178*100/M178,0)</f>
        <v>0</v>
      </c>
    </row>
    <row r="179" spans="1:16" ht="18.75" hidden="1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hidden="1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IFERROR(__xludf.DUMMYFUNCTION("IMPORTRANGE(""https://docs.google.com/spreadsheets/d/1-uDff_7J0KD5mKrp0Vvzr7lt3OU09vwQwhkpOPPYv2Y/edit?usp=sharing"",""งบพรบ!CN76"")"),0)</f>
        <v>0</v>
      </c>
      <c r="M181" s="48">
        <f ca="1">IFERROR(__xludf.DUMMYFUNCTION("IMPORTRANGE(""https://docs.google.com/spreadsheets/d/1-uDff_7J0KD5mKrp0Vvzr7lt3OU09vwQwhkpOPPYv2Y/edit?usp=sharing"",""งบพรบ!CQ76"")"),0)</f>
        <v>0</v>
      </c>
      <c r="N181" s="48">
        <f ca="1">IFERROR(__xludf.DUMMYFUNCTION("IMPORTRANGE(""https://docs.google.com/spreadsheets/d/1-uDff_7J0KD5mKrp0Vvzr7lt3OU09vwQwhkpOPPYv2Y/edit?usp=sharing"",""งบพรบ!CS76"")"),0)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hidden="1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hidden="1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IFERROR(__xludf.DUMMYFUNCTION("IMPORTRANGE(""https://docs.google.com/spreadsheets/d/1eHaY18a8A9IcSdp1K8H6x8fbOy06t2VsZHhMHf-1x7Y/edit?usp=sharing"",""แผน!AA76"")"),0)</f>
        <v>0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55500</v>
      </c>
      <c r="M186" s="141">
        <f ca="1">M187+M188</f>
        <v>31500</v>
      </c>
      <c r="N186" s="141">
        <f ca="1">N187+N188</f>
        <v>0</v>
      </c>
      <c r="O186" s="141">
        <f ca="1">IF(L186&gt;0,N186*100/L186,0)</f>
        <v>0</v>
      </c>
      <c r="P186" s="141">
        <f ca="1">IF(M186&gt;0,N186*100/M186,0)</f>
        <v>0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55500</v>
      </c>
      <c r="M188" s="48">
        <f ca="1">M191+M194</f>
        <v>31500</v>
      </c>
      <c r="N188" s="48">
        <f ca="1">N191+N194</f>
        <v>0</v>
      </c>
      <c r="O188" s="48">
        <f ca="1">IF(L188&gt;0,N188*100/L188,0)</f>
        <v>0</v>
      </c>
      <c r="P188" s="48">
        <f ca="1">IF(M188&gt;0,N188*100/M188,0)</f>
        <v>0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55500</v>
      </c>
      <c r="M189" s="48">
        <f ca="1">M190+M191</f>
        <v>31500</v>
      </c>
      <c r="N189" s="48">
        <f ca="1">N190+N191</f>
        <v>0</v>
      </c>
      <c r="O189" s="48">
        <f ca="1">IF(L189&gt;0,N189*100/L189,0)</f>
        <v>0</v>
      </c>
      <c r="P189" s="48">
        <f ca="1">IF(M189&gt;0,N189*100/M189,0)</f>
        <v>0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IFERROR(__xludf.DUMMYFUNCTION("IMPORTRANGE(""https://docs.google.com/spreadsheets/d/1-uDff_7J0KD5mKrp0Vvzr7lt3OU09vwQwhkpOPPYv2Y/edit?usp=sharing"",""งบพรบ!CU76"")"),55500)</f>
        <v>55500</v>
      </c>
      <c r="M191" s="48">
        <f ca="1">IFERROR(__xludf.DUMMYFUNCTION("IMPORTRANGE(""https://docs.google.com/spreadsheets/d/1-uDff_7J0KD5mKrp0Vvzr7lt3OU09vwQwhkpOPPYv2Y/edit?usp=sharing"",""งบพรบ!CZ76"")"),31500)</f>
        <v>31500</v>
      </c>
      <c r="N191" s="48">
        <f ca="1">IFERROR(__xludf.DUMMYFUNCTION("IMPORTRANGE(""https://docs.google.com/spreadsheets/d/1-uDff_7J0KD5mKrp0Vvzr7lt3OU09vwQwhkpOPPYv2Y/edit?usp=sharing"",""งบพรบ!DB76"")"),0)</f>
        <v>0</v>
      </c>
      <c r="O191" s="48">
        <f ca="1">IF(L191&gt;0,N191*100/L191,0)</f>
        <v>0</v>
      </c>
      <c r="P191" s="48">
        <f ca="1">IF(M191&gt;0,N191*100/M191,0)</f>
        <v>0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IFERROR(__xludf.DUMMYFUNCTION("IMPORTRANGE(""https://docs.google.com/spreadsheets/d/1-uDff_7J0KD5mKrp0Vvzr7lt3OU09vwQwhkpOPPYv2Y/edit?usp=sharing"",""งบพรบ!CX76"")"),0)</f>
        <v>0</v>
      </c>
      <c r="M194" s="48">
        <f ca="1">IFERROR(__xludf.DUMMYFUNCTION("IMPORTRANGE(""https://docs.google.com/spreadsheets/d/1-uDff_7J0KD5mKrp0Vvzr7lt3OU09vwQwhkpOPPYv2Y/edit?usp=sharing"",""งบพรบ!DA76"")"),0)</f>
        <v>0</v>
      </c>
      <c r="N194" s="48">
        <f ca="1">IFERROR(__xludf.DUMMYFUNCTION("IMPORTRANGE(""https://docs.google.com/spreadsheets/d/1-uDff_7J0KD5mKrp0Vvzr7lt3OU09vwQwhkpOPPYv2Y/edit?usp=sharing"",""งบพรบ!DC76"")"),0)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IFERROR(__xludf.DUMMYFUNCTION("IMPORTRANGE(""https://docs.google.com/spreadsheets/d/1eHaY18a8A9IcSdp1K8H6x8fbOy06t2VsZHhMHf-1x7Y/edit?usp=sharing"",""แผน!AB76"")"),6000)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IFERROR(__xludf.DUMMYFUNCTION("IMPORTRANGE(""https://docs.google.com/spreadsheets/d/1eHaY18a8A9IcSdp1K8H6x8fbOy06t2VsZHhMHf-1x7Y/edit?usp=sharing"",""แผน!AE76"")"),4)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2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31000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IFERROR(__xludf.DUMMYFUNCTION("IMPORTRANGE(""https://docs.google.com/spreadsheets/d/1eHaY18a8A9IcSdp1K8H6x8fbOy06t2VsZHhMHf-1x7Y/edit?usp=sharing"",""แผน!AG76"")"),2000)</f>
        <v>2000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IFERROR(__xludf.DUMMYFUNCTION("IMPORTRANGE(""https://docs.google.com/spreadsheets/d/1eHaY18a8A9IcSdp1K8H6x8fbOy06t2VsZHhMHf-1x7Y/edit?usp=sharing"",""แผน!AH76"")"),0)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IFERROR(__xludf.DUMMYFUNCTION("IMPORTRANGE(""https://docs.google.com/spreadsheets/d/1eHaY18a8A9IcSdp1K8H6x8fbOy06t2VsZHhMHf-1x7Y/edit?usp=sharing"",""แผน!AI76"")"),16000)</f>
        <v>16000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IFERROR(__xludf.DUMMYFUNCTION("IMPORTRANGE(""https://docs.google.com/spreadsheets/d/1eHaY18a8A9IcSdp1K8H6x8fbOy06t2VsZHhMHf-1x7Y/edit?usp=sharing"",""แผน!AJ76"")"),13000)</f>
        <v>13000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IFERROR(__xludf.DUMMYFUNCTION("IMPORTRANGE(""https://docs.google.com/spreadsheets/d/1eHaY18a8A9IcSdp1K8H6x8fbOy06t2VsZHhMHf-1x7Y/edit?usp=sharing"",""แผน!AK76"")"),2)</f>
        <v>2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IFERROR(__xludf.DUMMYFUNCTION("IMPORTRANGE(""https://docs.google.com/spreadsheets/d/1eHaY18a8A9IcSdp1K8H6x8fbOy06t2VsZHhMHf-1x7Y/edit?usp=sharing"",""แผน!AK76"")"),2)</f>
        <v>2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IFERROR(__xludf.DUMMYFUNCTION("IMPORTRANGE(""https://docs.google.com/spreadsheets/d/1eHaY18a8A9IcSdp1K8H6x8fbOy06t2VsZHhMHf-1x7Y/edit?usp=sharing"",""แผน!AK76"")"),2)</f>
        <v>2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1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14000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IFERROR(__xludf.DUMMYFUNCTION("IMPORTRANGE(""https://docs.google.com/spreadsheets/d/1eHaY18a8A9IcSdp1K8H6x8fbOy06t2VsZHhMHf-1x7Y/edit?usp=sharing"",""แผน!AM76"")"),1000)</f>
        <v>1000</v>
      </c>
      <c r="M215" s="47"/>
      <c r="N215" s="249">
        <v>0</v>
      </c>
      <c r="O215" s="146"/>
      <c r="P215" s="47"/>
    </row>
    <row r="216" spans="1:16" ht="18.75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IFERROR(__xludf.DUMMYFUNCTION("IMPORTRANGE(""https://docs.google.com/spreadsheets/d/1eHaY18a8A9IcSdp1K8H6x8fbOy06t2VsZHhMHf-1x7Y/edit?usp=sharing"",""แผน!AN76"")"),5000)</f>
        <v>5000</v>
      </c>
      <c r="M216" s="47"/>
      <c r="N216" s="249">
        <v>0</v>
      </c>
      <c r="O216" s="146"/>
      <c r="P216" s="47"/>
    </row>
    <row r="217" spans="1:16" ht="18.75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IFERROR(__xludf.DUMMYFUNCTION("IMPORTRANGE(""https://docs.google.com/spreadsheets/d/1eHaY18a8A9IcSdp1K8H6x8fbOy06t2VsZHhMHf-1x7Y/edit?usp=sharing"",""แผน!AO76"")"),8000)</f>
        <v>8000</v>
      </c>
      <c r="M217" s="47"/>
      <c r="N217" s="249">
        <v>0</v>
      </c>
      <c r="O217" s="146"/>
      <c r="P217" s="47"/>
    </row>
    <row r="218" spans="1:16" ht="19.5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IFERROR(__xludf.DUMMYFUNCTION("IMPORTRANGE(""https://docs.google.com/spreadsheets/d/1eHaY18a8A9IcSdp1K8H6x8fbOy06t2VsZHhMHf-1x7Y/edit?usp=sharing"",""แผน!AP76"")"),1)</f>
        <v>1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IFERROR(__xludf.DUMMYFUNCTION("IMPORTRANGE(""https://docs.google.com/spreadsheets/d/1eHaY18a8A9IcSdp1K8H6x8fbOy06t2VsZHhMHf-1x7Y/edit?usp=sharing"",""แผน!AP76"")"),1)</f>
        <v>1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20000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IFERROR(__xludf.DUMMYFUNCTION("IMPORTRANGE(""https://docs.google.com/spreadsheets/d/1eHaY18a8A9IcSdp1K8H6x8fbOy06t2VsZHhMHf-1x7Y/edit?usp=sharing"",""แผน!AR76"")"),3000)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IFERROR(__xludf.DUMMYFUNCTION("IMPORTRANGE(""https://docs.google.com/spreadsheets/d/1eHaY18a8A9IcSdp1K8H6x8fbOy06t2VsZHhMHf-1x7Y/edit?usp=sharing"",""แผน!AS76"")"),1500)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IFERROR(__xludf.DUMMYFUNCTION("IMPORTRANGE(""https://docs.google.com/spreadsheets/d/1eHaY18a8A9IcSdp1K8H6x8fbOy06t2VsZHhMHf-1x7Y/edit?usp=sharing"",""แผน!AT76"")"),0)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IFERROR(__xludf.DUMMYFUNCTION("IMPORTRANGE(""https://docs.google.com/spreadsheets/d/1eHaY18a8A9IcSdp1K8H6x8fbOy06t2VsZHhMHf-1x7Y/edit?usp=sharing"",""แผน!AV76"")"),20000)</f>
        <v>20000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IFERROR(__xludf.DUMMYFUNCTION("IMPORTRANGE(""https://docs.google.com/spreadsheets/d/1eHaY18a8A9IcSdp1K8H6x8fbOy06t2VsZHhMHf-1x7Y/edit?usp=sharing"",""แผน!AV76"")"),20000)</f>
        <v>20000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IFERROR(__xludf.DUMMYFUNCTION("IMPORTRANGE(""https://docs.google.com/spreadsheets/d/1eHaY18a8A9IcSdp1K8H6x8fbOy06t2VsZHhMHf-1x7Y/edit?usp=sharing"",""แผน!AU76"")"),0)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IFERROR(__xludf.DUMMYFUNCTION("IMPORTRANGE(""https://docs.google.com/spreadsheets/d/1eHaY18a8A9IcSdp1K8H6x8fbOy06t2VsZHhMHf-1x7Y/edit?usp=sharing"",""แผน!AX76"")"),0)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IFERROR(__xludf.DUMMYFUNCTION("IMPORTRANGE(""https://docs.google.com/spreadsheets/d/1eHaY18a8A9IcSdp1K8H6x8fbOy06t2VsZHhMHf-1x7Y/edit?usp=sharing"",""แผน!AY76"")"),0)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IFERROR(__xludf.DUMMYFUNCTION("IMPORTRANGE(""https://docs.google.com/spreadsheets/d/1eHaY18a8A9IcSdp1K8H6x8fbOy06t2VsZHhMHf-1x7Y/edit?usp=sharing"",""แผน!AZ76"")"),0)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IFERROR(__xludf.DUMMYFUNCTION("IMPORTRANGE(""https://docs.google.com/spreadsheets/d/1eHaY18a8A9IcSdp1K8H6x8fbOy06t2VsZHhMHf-1x7Y/edit?usp=sharing"",""แผน!BA76"")"),0)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IFERROR(__xludf.DUMMYFUNCTION("IMPORTRANGE(""https://docs.google.com/spreadsheets/d/1eHaY18a8A9IcSdp1K8H6x8fbOy06t2VsZHhMHf-1x7Y/edit?usp=sharing"",""แผน!BG76"")"),0)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IFERROR(__xludf.DUMMYFUNCTION("IMPORTRANGE(""https://docs.google.com/spreadsheets/d/1eHaY18a8A9IcSdp1K8H6x8fbOy06t2VsZHhMHf-1x7Y/edit?usp=sharing"",""แผน!BB76"")"),0)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IFERROR(__xludf.DUMMYFUNCTION("IMPORTRANGE(""https://docs.google.com/spreadsheets/d/1eHaY18a8A9IcSdp1K8H6x8fbOy06t2VsZHhMHf-1x7Y/edit?usp=sharing"",""แผน!BC76"")"),0)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IFERROR(__xludf.DUMMYFUNCTION("IMPORTRANGE(""https://docs.google.com/spreadsheets/d/1eHaY18a8A9IcSdp1K8H6x8fbOy06t2VsZHhMHf-1x7Y/edit?usp=sharing"",""แผน!BD76"")"),0)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IFERROR(__xludf.DUMMYFUNCTION("IMPORTRANGE(""https://docs.google.com/spreadsheets/d/1eHaY18a8A9IcSdp1K8H6x8fbOy06t2VsZHhMHf-1x7Y/edit?usp=sharing"",""แผน!BE76"")"),0)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IFERROR(__xludf.DUMMYFUNCTION("IMPORTRANGE(""https://docs.google.com/spreadsheets/d/1eHaY18a8A9IcSdp1K8H6x8fbOy06t2VsZHhMHf-1x7Y/edit?usp=sharing"",""แผน!BH76"")"),0)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IFERROR(__xludf.DUMMYFUNCTION("IMPORTRANGE(""https://docs.google.com/spreadsheets/d/1-uDff_7J0KD5mKrp0Vvzr7lt3OU09vwQwhkpOPPYv2Y/edit?usp=sharing"",""งบพรบ!DE76"")"),0)</f>
        <v>0</v>
      </c>
      <c r="M271" s="51">
        <f ca="1">IFERROR(__xludf.DUMMYFUNCTION("IMPORTRANGE(""https://docs.google.com/spreadsheets/d/1-uDff_7J0KD5mKrp0Vvzr7lt3OU09vwQwhkpOPPYv2Y/edit?usp=sharing"",""งบพรบ!DJ76"")"),0)</f>
        <v>0</v>
      </c>
      <c r="N271" s="51">
        <f ca="1">IFERROR(__xludf.DUMMYFUNCTION("IMPORTRANGE(""https://docs.google.com/spreadsheets/d/1-uDff_7J0KD5mKrp0Vvzr7lt3OU09vwQwhkpOPPYv2Y/edit?usp=sharing"",""งบพรบ!DL76"")"),0)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IFERROR(__xludf.DUMMYFUNCTION("IMPORTRANGE(""https://docs.google.com/spreadsheets/d/1-uDff_7J0KD5mKrp0Vvzr7lt3OU09vwQwhkpOPPYv2Y/edit?usp=sharing"",""งบพรบ!DH76"")"),0)</f>
        <v>0</v>
      </c>
      <c r="M274" s="51">
        <f ca="1">IFERROR(__xludf.DUMMYFUNCTION("IMPORTRANGE(""https://docs.google.com/spreadsheets/d/1-uDff_7J0KD5mKrp0Vvzr7lt3OU09vwQwhkpOPPYv2Y/edit?usp=sharing"",""งบพรบ!DK76"")"),0)</f>
        <v>0</v>
      </c>
      <c r="N274" s="51">
        <f ca="1">IFERROR(__xludf.DUMMYFUNCTION("IMPORTRANGE(""https://docs.google.com/spreadsheets/d/1-uDff_7J0KD5mKrp0Vvzr7lt3OU09vwQwhkpOPPYv2Y/edit?usp=sharing"",""งบพรบ!DM76"")"),0)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IFERROR(__xludf.DUMMYFUNCTION("IMPORTRANGE(""https://docs.google.com/spreadsheets/d/1-uDff_7J0KD5mKrp0Vvzr7lt3OU09vwQwhkpOPPYv2Y/edit?usp=sharing"",""งบพรบ!DO76"")"),0)</f>
        <v>0</v>
      </c>
      <c r="M287" s="48">
        <f ca="1">IFERROR(__xludf.DUMMYFUNCTION("IMPORTRANGE(""https://docs.google.com/spreadsheets/d/1-uDff_7J0KD5mKrp0Vvzr7lt3OU09vwQwhkpOPPYv2Y/edit?usp=sharing"",""งบพรบ!DT76"")"),0)</f>
        <v>0</v>
      </c>
      <c r="N287" s="48">
        <f ca="1">IFERROR(__xludf.DUMMYFUNCTION("IMPORTRANGE(""https://docs.google.com/spreadsheets/d/1-uDff_7J0KD5mKrp0Vvzr7lt3OU09vwQwhkpOPPYv2Y/edit?usp=sharing"",""งบพรบ!DV76"")"),0)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IFERROR(__xludf.DUMMYFUNCTION("IMPORTRANGE(""https://docs.google.com/spreadsheets/d/1-uDff_7J0KD5mKrp0Vvzr7lt3OU09vwQwhkpOPPYv2Y/edit?usp=sharing"",""งบพรบ!DR76"")"),0)</f>
        <v>0</v>
      </c>
      <c r="M290" s="48">
        <f ca="1">IFERROR(__xludf.DUMMYFUNCTION("IMPORTRANGE(""https://docs.google.com/spreadsheets/d/1-uDff_7J0KD5mKrp0Vvzr7lt3OU09vwQwhkpOPPYv2Y/edit?usp=sharing"",""งบพรบ!DU76"")"),0)</f>
        <v>0</v>
      </c>
      <c r="N290" s="48">
        <f ca="1">IFERROR(__xludf.DUMMYFUNCTION("IMPORTRANGE(""https://docs.google.com/spreadsheets/d/1-uDff_7J0KD5mKrp0Vvzr7lt3OU09vwQwhkpOPPYv2Y/edit?usp=sharing"",""งบพรบ!DW76"")"),0)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IFERROR(__xludf.DUMMYFUNCTION("IMPORTRANGE(""https://docs.google.com/spreadsheets/d/1eHaY18a8A9IcSdp1K8H6x8fbOy06t2VsZHhMHf-1x7Y/edit?usp=sharing"",""แผน!EE76"")"),0)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IFERROR(__xludf.DUMMYFUNCTION("IMPORTRANGE(""https://docs.google.com/spreadsheets/d/1eHaY18a8A9IcSdp1K8H6x8fbOy06t2VsZHhMHf-1x7Y/edit?usp=sharing"",""แผน!ED76"")"),0)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IFERROR(__xludf.DUMMYFUNCTION("IMPORTRANGE(""https://docs.google.com/spreadsheets/d/1eHaY18a8A9IcSdp1K8H6x8fbOy06t2VsZHhMHf-1x7Y/edit?usp=sharing"",""แผน!ED76"")"),0)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IFERROR(__xludf.DUMMYFUNCTION("IMPORTRANGE(""https://docs.google.com/spreadsheets/d/1eHaY18a8A9IcSdp1K8H6x8fbOy06t2VsZHhMHf-1x7Y/edit?usp=sharing"",""แผน!ED76"")"),0)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IFERROR(__xludf.DUMMYFUNCTION("IMPORTRANGE(""https://docs.google.com/spreadsheets/d/1-uDff_7J0KD5mKrp0Vvzr7lt3OU09vwQwhkpOPPYv2Y/edit?usp=sharing"",""งบพรบ!DY76"")"),0)</f>
        <v>0</v>
      </c>
      <c r="M308" s="48">
        <f ca="1">IFERROR(__xludf.DUMMYFUNCTION("IMPORTRANGE(""https://docs.google.com/spreadsheets/d/1-uDff_7J0KD5mKrp0Vvzr7lt3OU09vwQwhkpOPPYv2Y/edit?usp=sharing"",""งบพรบ!ED76"")"),0)</f>
        <v>0</v>
      </c>
      <c r="N308" s="48">
        <f ca="1">IFERROR(__xludf.DUMMYFUNCTION("IMPORTRANGE(""https://docs.google.com/spreadsheets/d/1-uDff_7J0KD5mKrp0Vvzr7lt3OU09vwQwhkpOPPYv2Y/edit?usp=sharing"",""งบพรบ!EF76"")"),0)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IFERROR(__xludf.DUMMYFUNCTION("IMPORTRANGE(""https://docs.google.com/spreadsheets/d/1-uDff_7J0KD5mKrp0Vvzr7lt3OU09vwQwhkpOPPYv2Y/edit?usp=sharing"",""งบพรบ!EB76"")"),0)</f>
        <v>0</v>
      </c>
      <c r="M311" s="48">
        <f ca="1">IFERROR(__xludf.DUMMYFUNCTION("IMPORTRANGE(""https://docs.google.com/spreadsheets/d/1-uDff_7J0KD5mKrp0Vvzr7lt3OU09vwQwhkpOPPYv2Y/edit?usp=sharing"",""งบพรบ!EE76"")"),0)</f>
        <v>0</v>
      </c>
      <c r="N311" s="48">
        <f ca="1">IFERROR(__xludf.DUMMYFUNCTION("IMPORTRANGE(""https://docs.google.com/spreadsheets/d/1-uDff_7J0KD5mKrp0Vvzr7lt3OU09vwQwhkpOPPYv2Y/edit?usp=sharing"",""งบพรบ!EG76"")"),0)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IFERROR(__xludf.DUMMYFUNCTION("IMPORTRANGE(""https://docs.google.com/spreadsheets/d/1eHaY18a8A9IcSdp1K8H6x8fbOy06t2VsZHhMHf-1x7Y/edit?usp=sharing"",""แผน!EF76"")"),0)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IFERROR(__xludf.DUMMYFUNCTION("IMPORTRANGE(""https://docs.google.com/spreadsheets/d/1eHaY18a8A9IcSdp1K8H6x8fbOy06t2VsZHhMHf-1x7Y/edit?usp=sharing"",""แผน!EG76"")"),0)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IFERROR(__xludf.DUMMYFUNCTION("IMPORTRANGE(""https://docs.google.com/spreadsheets/d/1eHaY18a8A9IcSdp1K8H6x8fbOy06t2VsZHhMHf-1x7Y/edit?usp=sharing"",""แผน!EH76"")"),0)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IFERROR(__xludf.DUMMYFUNCTION("IMPORTRANGE(""https://docs.google.com/spreadsheets/d/1eHaY18a8A9IcSdp1K8H6x8fbOy06t2VsZHhMHf-1x7Y/edit?usp=sharing"",""แผน!EI76"")"),0)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1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20000</v>
      </c>
      <c r="M320" s="141">
        <f ca="1">M321+M322</f>
        <v>20000</v>
      </c>
      <c r="N320" s="141">
        <f ca="1">N321+N322</f>
        <v>2684</v>
      </c>
      <c r="O320" s="141">
        <f ca="1">IF(L320&gt;0,N320*100/L320,0)</f>
        <v>13.42</v>
      </c>
      <c r="P320" s="141">
        <f ca="1">IF(M320&gt;0,N320*100/M320,0)</f>
        <v>13.42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20000</v>
      </c>
      <c r="M322" s="48">
        <f ca="1">M325+M328</f>
        <v>20000</v>
      </c>
      <c r="N322" s="48">
        <f ca="1">N325+N328</f>
        <v>2684</v>
      </c>
      <c r="O322" s="48">
        <f ca="1">IF(L322&gt;0,N322*100/L322,0)</f>
        <v>13.42</v>
      </c>
      <c r="P322" s="48">
        <f ca="1">IF(M322&gt;0,N322*100/M322,0)</f>
        <v>13.42</v>
      </c>
    </row>
    <row r="323" spans="1:16" ht="18.75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20000</v>
      </c>
      <c r="M323" s="48">
        <f ca="1">M324+M325</f>
        <v>20000</v>
      </c>
      <c r="N323" s="48">
        <f ca="1">N324+N325</f>
        <v>2684</v>
      </c>
      <c r="O323" s="48">
        <f ca="1">IF(L323&gt;0,N323*100/L323,0)</f>
        <v>13.42</v>
      </c>
      <c r="P323" s="48">
        <f ca="1">IF(M323&gt;0,N323*100/M323,0)</f>
        <v>13.42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IFERROR(__xludf.DUMMYFUNCTION("IMPORTRANGE(""https://docs.google.com/spreadsheets/d/1-uDff_7J0KD5mKrp0Vvzr7lt3OU09vwQwhkpOPPYv2Y/edit?usp=sharing"",""งบพรบ!EI76"")"),20000)</f>
        <v>20000</v>
      </c>
      <c r="M325" s="48">
        <f ca="1">IFERROR(__xludf.DUMMYFUNCTION("IMPORTRANGE(""https://docs.google.com/spreadsheets/d/1-uDff_7J0KD5mKrp0Vvzr7lt3OU09vwQwhkpOPPYv2Y/edit?usp=sharing"",""งบพรบ!EN76"")"),20000)</f>
        <v>20000</v>
      </c>
      <c r="N325" s="48">
        <f ca="1">IFERROR(__xludf.DUMMYFUNCTION("IMPORTRANGE(""https://docs.google.com/spreadsheets/d/1-uDff_7J0KD5mKrp0Vvzr7lt3OU09vwQwhkpOPPYv2Y/edit?usp=sharing"",""งบพรบ!EP76"")"),2684)</f>
        <v>2684</v>
      </c>
      <c r="O325" s="48">
        <f ca="1">IF(L325&gt;0,N325*100/L325,0)</f>
        <v>13.42</v>
      </c>
      <c r="P325" s="48">
        <f ca="1">IF(M325&gt;0,N325*100/M325,0)</f>
        <v>13.42</v>
      </c>
    </row>
    <row r="326" spans="1:16" ht="18.75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IFERROR(__xludf.DUMMYFUNCTION("IMPORTRANGE(""https://docs.google.com/spreadsheets/d/1-uDff_7J0KD5mKrp0Vvzr7lt3OU09vwQwhkpOPPYv2Y/edit?usp=sharing"",""งบพรบ!EL76"")"),0)</f>
        <v>0</v>
      </c>
      <c r="M328" s="48">
        <f ca="1">IFERROR(__xludf.DUMMYFUNCTION("IMPORTRANGE(""https://docs.google.com/spreadsheets/d/1-uDff_7J0KD5mKrp0Vvzr7lt3OU09vwQwhkpOPPYv2Y/edit?usp=sharing"",""งบพรบ!EO76"")"),0)</f>
        <v>0</v>
      </c>
      <c r="N328" s="48">
        <f ca="1">IFERROR(__xludf.DUMMYFUNCTION("IMPORTRANGE(""https://docs.google.com/spreadsheets/d/1-uDff_7J0KD5mKrp0Vvzr7lt3OU09vwQwhkpOPPYv2Y/edit?usp=sharing"",""งบพรบ!EQ76"")"),0)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IFERROR(__xludf.DUMMYFUNCTION("IMPORTRANGE(""https://docs.google.com/spreadsheets/d/1eHaY18a8A9IcSdp1K8H6x8fbOy06t2VsZHhMHf-1x7Y/edit?usp=sharing"",""แผน!EJ76"")"),1)</f>
        <v>1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2060</v>
      </c>
      <c r="J332" s="352">
        <f ca="1">J344+J347+J348+J349+J353</f>
        <v>2684</v>
      </c>
      <c r="K332" s="353">
        <f ca="1">IF(I332&gt;0,J332*100/I332,0)</f>
        <v>130.29126213592232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109000</v>
      </c>
      <c r="M333" s="141">
        <f ca="1">M334+M335</f>
        <v>88150</v>
      </c>
      <c r="N333" s="141">
        <f ca="1">N334+N335</f>
        <v>15700</v>
      </c>
      <c r="O333" s="141">
        <f ca="1">IF(L333&gt;0,N333*100/L333,0)</f>
        <v>14.403669724770642</v>
      </c>
      <c r="P333" s="141">
        <f ca="1">IF(M333&gt;0,N333*100/M333,0)</f>
        <v>17.810550198525242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109000</v>
      </c>
      <c r="M335" s="48">
        <f ca="1">M338+M341</f>
        <v>88150</v>
      </c>
      <c r="N335" s="48">
        <f ca="1">N338+N341</f>
        <v>15700</v>
      </c>
      <c r="O335" s="48">
        <f ca="1">IF(L335&gt;0,N335*100/L335,0)</f>
        <v>14.403669724770642</v>
      </c>
      <c r="P335" s="48">
        <f ca="1">IF(M335&gt;0,N335*100/M335,0)</f>
        <v>17.810550198525242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109000</v>
      </c>
      <c r="M336" s="48">
        <f ca="1">M337+M338</f>
        <v>88150</v>
      </c>
      <c r="N336" s="48">
        <f ca="1">N337+N338</f>
        <v>15700</v>
      </c>
      <c r="O336" s="48">
        <f ca="1">IF(L336&gt;0,N336*100/L336,0)</f>
        <v>14.403669724770642</v>
      </c>
      <c r="P336" s="48">
        <f ca="1">IF(M336&gt;0,N336*100/M336,0)</f>
        <v>17.810550198525242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IFERROR(__xludf.DUMMYFUNCTION("IMPORTRANGE(""https://docs.google.com/spreadsheets/d/1-uDff_7J0KD5mKrp0Vvzr7lt3OU09vwQwhkpOPPYv2Y/edit?usp=sharing"",""งบพรบ!ES76"")"),109000)</f>
        <v>109000</v>
      </c>
      <c r="M338" s="48">
        <f ca="1">IFERROR(__xludf.DUMMYFUNCTION("IMPORTRANGE(""https://docs.google.com/spreadsheets/d/1-uDff_7J0KD5mKrp0Vvzr7lt3OU09vwQwhkpOPPYv2Y/edit?usp=sharing"",""งบพรบ!EX76"")"),88150)</f>
        <v>88150</v>
      </c>
      <c r="N338" s="48">
        <f ca="1">IFERROR(__xludf.DUMMYFUNCTION("IMPORTRANGE(""https://docs.google.com/spreadsheets/d/1-uDff_7J0KD5mKrp0Vvzr7lt3OU09vwQwhkpOPPYv2Y/edit?usp=sharing"",""งบพรบ!EZ76"")"),15700)</f>
        <v>15700</v>
      </c>
      <c r="O338" s="48">
        <f ca="1">IF(L338&gt;0,N338*100/L338,0)</f>
        <v>14.403669724770642</v>
      </c>
      <c r="P338" s="48">
        <f ca="1">IF(M338&gt;0,N338*100/M338,0)</f>
        <v>17.810550198525242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IFERROR(__xludf.DUMMYFUNCTION("IMPORTRANGE(""https://docs.google.com/spreadsheets/d/1-uDff_7J0KD5mKrp0Vvzr7lt3OU09vwQwhkpOPPYv2Y/edit?usp=sharing"",""งบพรบ!EV76"")"),0)</f>
        <v>0</v>
      </c>
      <c r="M341" s="48">
        <f ca="1">IFERROR(__xludf.DUMMYFUNCTION("IMPORTRANGE(""https://docs.google.com/spreadsheets/d/1-uDff_7J0KD5mKrp0Vvzr7lt3OU09vwQwhkpOPPYv2Y/edit?usp=sharing"",""งบพรบ!EY76"")"),0)</f>
        <v>0</v>
      </c>
      <c r="N341" s="48">
        <f ca="1">IFERROR(__xludf.DUMMYFUNCTION("IMPORTRANGE(""https://docs.google.com/spreadsheets/d/1-uDff_7J0KD5mKrp0Vvzr7lt3OU09vwQwhkpOPPYv2Y/edit?usp=sharing"",""งบพรบ!FA76"")"),0)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1518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IFERROR(__xludf.DUMMYFUNCTION("IMPORTRANGE(""https://docs.google.com/spreadsheets/d/1eHaY18a8A9IcSdp1K8H6x8fbOy06t2VsZHhMHf-1x7Y/edit?usp=sharing"",""แผน!EK76"")"),2060)</f>
        <v>2060</v>
      </c>
      <c r="J344" s="170">
        <f ca="1">IFERROR(__xludf.DUMMYFUNCTION("IMPORTRANGE(""https://docs.google.com/spreadsheets/d/1awYsYK3VOup2i3Pq_Yjnu8DRu_mYwSBnCR2QPthd0rU/edit?usp=sharing"",""ศูนย์ยกเว้นโฉนด!D76"")"),1516)</f>
        <v>1516</v>
      </c>
      <c r="K344" s="48">
        <f ca="1">IF(I344&gt;0,J344*100/I344,0)</f>
        <v>73.592233009708735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IFERROR(__xludf.DUMMYFUNCTION("IMPORTRANGE(""https://docs.google.com/spreadsheets/d/1eHaY18a8A9IcSdp1K8H6x8fbOy06t2VsZHhMHf-1x7Y/edit?usp=sharing"",""แผน!EL76"")"),3)</f>
        <v>3</v>
      </c>
      <c r="J346" s="170">
        <f ca="1">IFERROR(__xludf.DUMMYFUNCTION("IMPORTRANGE(""https://docs.google.com/spreadsheets/d/1awYsYK3VOup2i3Pq_Yjnu8DRu_mYwSBnCR2QPthd0rU/edit?usp=sharing"",""ศูนย์รวม!E76"")"),0)</f>
        <v>0</v>
      </c>
      <c r="K346" s="48">
        <f ca="1">IF(I346&gt;0,J346*100/I346,0)</f>
        <v>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IFERROR(__xludf.DUMMYFUNCTION("IMPORTRANGE(""https://docs.google.com/spreadsheets/d/1awYsYK3VOup2i3Pq_Yjnu8DRu_mYwSBnCR2QPthd0rU/edit?usp=sharing"",""ศูนย์ยกเว้นโฉนด!F76"")"),0)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IFERROR(__xludf.DUMMYFUNCTION("IMPORTRANGE(""https://docs.google.com/spreadsheets/d/1awYsYK3VOup2i3Pq_Yjnu8DRu_mYwSBnCR2QPthd0rU/edit?usp=sharing"",""ศูนย์ยกเว้นโฉนด!G76"")"),2)</f>
        <v>2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IFERROR(__xludf.DUMMYFUNCTION("IMPORTRANGE(""https://docs.google.com/spreadsheets/d/1awYsYK3VOup2i3Pq_Yjnu8DRu_mYwSBnCR2QPthd0rU/edit?usp=sharing"",""ศูนย์ยกเว้นโฉนด!H76"")"),0)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1257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IFERROR(__xludf.DUMMYFUNCTION("IMPORTRANGE(""https://docs.google.com/spreadsheets/d/1awYsYK3VOup2i3Pq_Yjnu8DRu_mYwSBnCR2QPthd0rU/edit?usp=sharing"",""โฉนดM3!G76"")"),91)</f>
        <v>91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IFERROR(__xludf.DUMMYFUNCTION("IMPORTRANGE(""https://docs.google.com/spreadsheets/d/1awYsYK3VOup2i3Pq_Yjnu8DRu_mYwSBnCR2QPthd0rU/edit?usp=sharing"",""โฉนดM3!H76"")"),1166)</f>
        <v>1166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492430</v>
      </c>
      <c r="M356" s="141">
        <f ca="1">M357+M358</f>
        <v>406830</v>
      </c>
      <c r="N356" s="141">
        <f ca="1">N357+N358</f>
        <v>66707</v>
      </c>
      <c r="O356" s="141">
        <f ca="1">IF(L356&gt;0,N356*100/L356,0)</f>
        <v>13.546493917917267</v>
      </c>
      <c r="P356" s="141">
        <f ca="1">IF(M356&gt;0,N356*100/M356,0)</f>
        <v>16.39677506575228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492430</v>
      </c>
      <c r="M358" s="48">
        <f ca="1">M361+M364</f>
        <v>406830</v>
      </c>
      <c r="N358" s="48">
        <f ca="1">N361+N364</f>
        <v>66707</v>
      </c>
      <c r="O358" s="48">
        <f ca="1">IF(L358&gt;0,N358*100/L358,0)</f>
        <v>13.546493917917267</v>
      </c>
      <c r="P358" s="48">
        <f ca="1">IF(M358&gt;0,N358*100/M358,0)</f>
        <v>16.39677506575228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492430</v>
      </c>
      <c r="M359" s="48">
        <f ca="1">M360+M361</f>
        <v>406830</v>
      </c>
      <c r="N359" s="48">
        <f ca="1">N360+N361</f>
        <v>66707</v>
      </c>
      <c r="O359" s="48">
        <f ca="1">IF(L359&gt;0,N359*100/L359,0)</f>
        <v>13.546493917917267</v>
      </c>
      <c r="P359" s="48">
        <f ca="1">IF(M359&gt;0,N359*100/M359,0)</f>
        <v>16.39677506575228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IFERROR(__xludf.DUMMYFUNCTION("IMPORTRANGE(""https://docs.google.com/spreadsheets/d/1-uDff_7J0KD5mKrp0Vvzr7lt3OU09vwQwhkpOPPYv2Y/edit?usp=sharing"",""งบพรบ!FC76"")"),492430)</f>
        <v>492430</v>
      </c>
      <c r="M361" s="48">
        <f ca="1">IFERROR(__xludf.DUMMYFUNCTION("IMPORTRANGE(""https://docs.google.com/spreadsheets/d/1-uDff_7J0KD5mKrp0Vvzr7lt3OU09vwQwhkpOPPYv2Y/edit?usp=sharing"",""งบพรบ!FH76"")"),406830)</f>
        <v>406830</v>
      </c>
      <c r="N361" s="48">
        <f ca="1">IFERROR(__xludf.DUMMYFUNCTION("IMPORTRANGE(""https://docs.google.com/spreadsheets/d/1-uDff_7J0KD5mKrp0Vvzr7lt3OU09vwQwhkpOPPYv2Y/edit?usp=sharing"",""งบพรบ!FJ76"")"),66707)</f>
        <v>66707</v>
      </c>
      <c r="O361" s="48">
        <f ca="1">IF(L361&gt;0,N361*100/L361,0)</f>
        <v>13.546493917917267</v>
      </c>
      <c r="P361" s="48">
        <f ca="1">IF(M361&gt;0,N361*100/M361,0)</f>
        <v>16.39677506575228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IFERROR(__xludf.DUMMYFUNCTION("IMPORTRANGE(""https://docs.google.com/spreadsheets/d/1-uDff_7J0KD5mKrp0Vvzr7lt3OU09vwQwhkpOPPYv2Y/edit?usp=sharing"",""งบพรบ!FF76"")"),0)</f>
        <v>0</v>
      </c>
      <c r="M364" s="48">
        <f ca="1">IFERROR(__xludf.DUMMYFUNCTION("IMPORTRANGE(""https://docs.google.com/spreadsheets/d/1-uDff_7J0KD5mKrp0Vvzr7lt3OU09vwQwhkpOPPYv2Y/edit?usp=sharing"",""งบพรบ!FI76"")"),0)</f>
        <v>0</v>
      </c>
      <c r="N364" s="48">
        <f ca="1">IFERROR(__xludf.DUMMYFUNCTION("IMPORTRANGE(""https://docs.google.com/spreadsheets/d/1-uDff_7J0KD5mKrp0Vvzr7lt3OU09vwQwhkpOPPYv2Y/edit?usp=sharing"",""งบพรบ!FK76"")"),0)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179</v>
      </c>
      <c r="J365" s="240">
        <f ca="1">J371</f>
        <v>66</v>
      </c>
      <c r="K365" s="241">
        <f ca="1">IF(I365&gt;0,J365*100/I365,0)</f>
        <v>36.871508379888269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IFERROR(__xludf.DUMMYFUNCTION("IMPORTRANGE(""https://docs.google.com/spreadsheets/d/1tdoBKaGub7dwA3U6UFTqxio9LNnvDCQjHKmttSEBsFQ/edit?usp=sharing"",""จัดที่ดิน!AB76"")"),69)</f>
        <v>69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IFERROR(__xludf.DUMMYFUNCTION("IMPORTRANGE(""https://docs.google.com/spreadsheets/d/1eHaY18a8A9IcSdp1K8H6x8fbOy06t2VsZHhMHf-1x7Y/edit?usp=sharing"",""แผน!EW76"")"),1625)</f>
        <v>1625</v>
      </c>
      <c r="J368" s="368">
        <f ca="1">IFERROR(__xludf.DUMMYFUNCTION("IMPORTRANGE(""https://docs.google.com/spreadsheets/d/1tdoBKaGub7dwA3U6UFTqxio9LNnvDCQjHKmttSEBsFQ/edit?usp=sharing"",""จัดที่ดิน!AC76"")"),544.47)</f>
        <v>544.47</v>
      </c>
      <c r="K368" s="48">
        <f ca="1">IF(I368&gt;0,J368*100/I368,0)</f>
        <v>33.505846153846157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IFERROR(__xludf.DUMMYFUNCTION("IMPORTRANGE(""https://docs.google.com/spreadsheets/d/1eHaY18a8A9IcSdp1K8H6x8fbOy06t2VsZHhMHf-1x7Y/edit?usp=sharing"",""แผน!EX76"")"),280)</f>
        <v>280</v>
      </c>
      <c r="J369" s="170">
        <f ca="1">IFERROR(__xludf.DUMMYFUNCTION("IMPORTRANGE(""https://docs.google.com/spreadsheets/d/1tdoBKaGub7dwA3U6UFTqxio9LNnvDCQjHKmttSEBsFQ/edit?usp=sharing"",""จัดที่ดิน!AD76"")"),108)</f>
        <v>108</v>
      </c>
      <c r="K369" s="48">
        <f ca="1">IF(I369&gt;0,J369*100/I369,0)</f>
        <v>38.571428571428569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IFERROR(__xludf.DUMMYFUNCTION("IMPORTRANGE(""https://docs.google.com/spreadsheets/d/1tdoBKaGub7dwA3U6UFTqxio9LNnvDCQjHKmttSEBsFQ/edit?usp=sharing"",""จัดที่ดิน!AE76"")"),1319.4)</f>
        <v>1319.4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IFERROR(__xludf.DUMMYFUNCTION("IMPORTRANGE(""https://docs.google.com/spreadsheets/d/1eHaY18a8A9IcSdp1K8H6x8fbOy06t2VsZHhMHf-1x7Y/edit?usp=sharing"",""แผน!EY76"")"),179)</f>
        <v>179</v>
      </c>
      <c r="J371" s="170">
        <f ca="1">IFERROR(__xludf.DUMMYFUNCTION("IMPORTRANGE(""https://docs.google.com/spreadsheets/d/1tdoBKaGub7dwA3U6UFTqxio9LNnvDCQjHKmttSEBsFQ/edit?usp=sharing"",""จัดที่ดิน!AF76"")"),66)</f>
        <v>66</v>
      </c>
      <c r="K371" s="48">
        <f ca="1">IF(I371&gt;0,J371*100/I371,0)</f>
        <v>36.871508379888269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IFERROR(__xludf.DUMMYFUNCTION("IMPORTRANGE(""https://docs.google.com/spreadsheets/d/1tdoBKaGub7dwA3U6UFTqxio9LNnvDCQjHKmttSEBsFQ/edit?usp=sharing"",""จัดที่ดิน!AG76"")"),933.88)</f>
        <v>933.88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IFERROR(__xludf.DUMMYFUNCTION("IMPORTRANGE(""https://docs.google.com/spreadsheets/d/1-uDff_7J0KD5mKrp0Vvzr7lt3OU09vwQwhkpOPPYv2Y/edit?usp=sharing"",""งบพรบ!FM76"")"),0)</f>
        <v>0</v>
      </c>
      <c r="M382" s="51">
        <f ca="1">IFERROR(__xludf.DUMMYFUNCTION("IMPORTRANGE(""https://docs.google.com/spreadsheets/d/1-uDff_7J0KD5mKrp0Vvzr7lt3OU09vwQwhkpOPPYv2Y/edit?usp=sharing"",""งบพรบ!FR76"")"),0)</f>
        <v>0</v>
      </c>
      <c r="N382" s="51">
        <f ca="1">IFERROR(__xludf.DUMMYFUNCTION("IMPORTRANGE(""https://docs.google.com/spreadsheets/d/1-uDff_7J0KD5mKrp0Vvzr7lt3OU09vwQwhkpOPPYv2Y/edit?usp=sharing"",""งบพรบ!FT76"")"),0)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IFERROR(__xludf.DUMMYFUNCTION("IMPORTRANGE(""https://docs.google.com/spreadsheets/d/1-uDff_7J0KD5mKrp0Vvzr7lt3OU09vwQwhkpOPPYv2Y/edit?usp=sharing"",""งบพรบ!FP76"")"),0)</f>
        <v>0</v>
      </c>
      <c r="M385" s="51">
        <f ca="1">IFERROR(__xludf.DUMMYFUNCTION("IMPORTRANGE(""https://docs.google.com/spreadsheets/d/1-uDff_7J0KD5mKrp0Vvzr7lt3OU09vwQwhkpOPPYv2Y/edit?usp=sharing"",""งบพรบ!FS76"")"),0)</f>
        <v>0</v>
      </c>
      <c r="N385" s="51">
        <f ca="1">IFERROR(__xludf.DUMMYFUNCTION("IMPORTRANGE(""https://docs.google.com/spreadsheets/d/1-uDff_7J0KD5mKrp0Vvzr7lt3OU09vwQwhkpOPPYv2Y/edit?usp=sharing"",""งบพรบ!FU76"")"),0)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3" orientation="portrait" r:id="rId1"/>
  <headerFooter>
    <oddFooter>&amp;Cหน้า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0F2E6-4439-496D-B833-9B8EA56C971F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1" width="12.28515625" bestFit="1" customWidth="1"/>
    <col min="12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155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1510550</v>
      </c>
      <c r="M18" s="34">
        <f ca="1">M19+M20</f>
        <v>1209950</v>
      </c>
      <c r="N18" s="34">
        <f ca="1">N19+N20</f>
        <v>406864.07</v>
      </c>
      <c r="O18" s="34">
        <f ca="1">IF(L18&gt;0,N18*100/L18,0)</f>
        <v>26.934829697792196</v>
      </c>
      <c r="P18" s="34">
        <f ca="1">IF(M18&gt;0,N18*100/M18,0)</f>
        <v>33.626519277656101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1510550</v>
      </c>
      <c r="M20" s="40">
        <f ca="1">M23+M26</f>
        <v>1209950</v>
      </c>
      <c r="N20" s="40">
        <f ca="1">N23+N26</f>
        <v>406864.07</v>
      </c>
      <c r="O20" s="40">
        <f ca="1">IF(L20&gt;0,N20*100/L20,0)</f>
        <v>26.934829697792196</v>
      </c>
      <c r="P20" s="40">
        <f ca="1">IF(M20&gt;0,N20*100/M20,0)</f>
        <v>33.626519277656101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1510550</v>
      </c>
      <c r="M21" s="48">
        <f ca="1">M22+M23</f>
        <v>1209950</v>
      </c>
      <c r="N21" s="48">
        <f ca="1">N22+N23</f>
        <v>406864.07</v>
      </c>
      <c r="O21" s="48">
        <f ca="1">IF(L21&gt;0,N21*100/L21,0)</f>
        <v>26.934829697792196</v>
      </c>
      <c r="P21" s="48">
        <f ca="1">IF(M21&gt;0,N21*100/M21,0)</f>
        <v>33.626519277656101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1510550</v>
      </c>
      <c r="M23" s="48">
        <f ca="1">M49+M64+M77+M99+M130+M144+M162+M191+M178+M271+M287+M308+M325+M338+M361+M382</f>
        <v>1209950</v>
      </c>
      <c r="N23" s="48">
        <f ca="1">N49+N64+N77+N99+N130+N144+N162+N191+N178+N271+N287+N308+N325+N338+N361+N382</f>
        <v>406864.07</v>
      </c>
      <c r="O23" s="48">
        <f ca="1">IF(L23&gt;0,N23*100/L23,0)</f>
        <v>26.934829697792196</v>
      </c>
      <c r="P23" s="48">
        <f ca="1">IF(M23&gt;0,N23*100/M23,0)</f>
        <v>33.626519277656101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1510550</v>
      </c>
      <c r="M40" s="65">
        <f ca="1">M44+M59+M72+M94+M125+M139+M157+M173+M186+M266+M282+M303+M320+M333+M356</f>
        <v>1209950</v>
      </c>
      <c r="N40" s="65">
        <f ca="1">N44+N59+N72+N94+N125+N139+N157+N173+N186+N266+N282+N303+N320+N333+N356</f>
        <v>406864.07</v>
      </c>
      <c r="O40" s="65">
        <f ca="1">IF(L40&gt;0,N40*100/L40,0)</f>
        <v>26.934829697792196</v>
      </c>
      <c r="P40" s="65">
        <f ca="1">IF(M40&gt;0,N40*100/M40,0)</f>
        <v>33.626519277656101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231100</v>
      </c>
      <c r="M44" s="84">
        <f ca="1">M45+M46</f>
        <v>231100</v>
      </c>
      <c r="N44" s="84">
        <f ca="1">N45+N46</f>
        <v>50800</v>
      </c>
      <c r="O44" s="84">
        <f ca="1">IF(L44&gt;0,N44*100/L44,0)</f>
        <v>21.981826049329296</v>
      </c>
      <c r="P44" s="84">
        <f ca="1">IF(M44&gt;0,N44*100/M44,0)</f>
        <v>21.981826049329296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231100</v>
      </c>
      <c r="M46" s="90">
        <f ca="1">M49+M52</f>
        <v>231100</v>
      </c>
      <c r="N46" s="90">
        <f ca="1">N49+N52</f>
        <v>50800</v>
      </c>
      <c r="O46" s="90">
        <f ca="1">IF(L46&gt;0,N46*100/L46,0)</f>
        <v>21.981826049329296</v>
      </c>
      <c r="P46" s="90">
        <f ca="1">IF(M46&gt;0,N46*100/M46,0)</f>
        <v>21.981826049329296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231100</v>
      </c>
      <c r="M47" s="48">
        <f ca="1">M48+M49</f>
        <v>231100</v>
      </c>
      <c r="N47" s="48">
        <f ca="1">N48+N49</f>
        <v>50800</v>
      </c>
      <c r="O47" s="48">
        <f ca="1">IF(L47&gt;0,N47*100/L47,0)</f>
        <v>21.981826049329296</v>
      </c>
      <c r="P47" s="48">
        <f ca="1">IF(M47&gt;0,N47*100/M47,0)</f>
        <v>21.981826049329296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IFERROR(__xludf.DUMMYFUNCTION("IMPORTRANGE(""https://docs.google.com/spreadsheets/d/1-uDff_7J0KD5mKrp0Vvzr7lt3OU09vwQwhkpOPPYv2Y/edit?usp=sharing"",""งบพรบ!P77"")"),231100)</f>
        <v>231100</v>
      </c>
      <c r="M49" s="48">
        <f ca="1">IFERROR(__xludf.DUMMYFUNCTION("IMPORTRANGE(""https://docs.google.com/spreadsheets/d/1-uDff_7J0KD5mKrp0Vvzr7lt3OU09vwQwhkpOPPYv2Y/edit?usp=sharing"",""งบพรบ!V77"")"),231100)</f>
        <v>231100</v>
      </c>
      <c r="N49" s="48">
        <f ca="1">IFERROR(__xludf.DUMMYFUNCTION("IMPORTRANGE(""https://docs.google.com/spreadsheets/d/1-uDff_7J0KD5mKrp0Vvzr7lt3OU09vwQwhkpOPPYv2Y/edit?usp=sharing"",""งบพรบ!Y77"")"),50800)</f>
        <v>50800</v>
      </c>
      <c r="O49" s="48">
        <f ca="1">IF(L49&gt;0,N49*100/L49,0)</f>
        <v>21.981826049329296</v>
      </c>
      <c r="P49" s="48">
        <f ca="1">IF(M49&gt;0,N49*100/M49,0)</f>
        <v>21.981826049329296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IFERROR(__xludf.DUMMYFUNCTION("IMPORTRANGE(""https://docs.google.com/spreadsheets/d/1-uDff_7J0KD5mKrp0Vvzr7lt3OU09vwQwhkpOPPYv2Y/edit?usp=sharing"",""งบพรบ!S77"")"),0)</f>
        <v>0</v>
      </c>
      <c r="M52" s="48">
        <f ca="1">IFERROR(__xludf.DUMMYFUNCTION("IMPORTRANGE(""https://docs.google.com/spreadsheets/d/1-uDff_7J0KD5mKrp0Vvzr7lt3OU09vwQwhkpOPPYv2Y/edit?usp=sharing"",""งบพรบ!W77"")"),0)</f>
        <v>0</v>
      </c>
      <c r="N52" s="48">
        <f ca="1">IFERROR(__xludf.DUMMYFUNCTION("IMPORTRANGE(""https://docs.google.com/spreadsheets/d/1-uDff_7J0KD5mKrp0Vvzr7lt3OU09vwQwhkpOPPYv2Y/edit?usp=sharing"",""งบพรบ!Z77"")"),0)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494400</v>
      </c>
      <c r="M59" s="113">
        <f ca="1">M60+M61</f>
        <v>373050</v>
      </c>
      <c r="N59" s="113">
        <f ca="1">N60+N61</f>
        <v>260364.08</v>
      </c>
      <c r="O59" s="113">
        <f ca="1">IF(L59&gt;0,N59*100/L59,0)</f>
        <v>52.662637540453076</v>
      </c>
      <c r="P59" s="113">
        <f ca="1">IF(M59&gt;0,N59*100/M59,0)</f>
        <v>69.793346736362423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494400</v>
      </c>
      <c r="M61" s="119">
        <f ca="1">M64+M67</f>
        <v>373050</v>
      </c>
      <c r="N61" s="119">
        <f ca="1">N64+N67</f>
        <v>260364.08</v>
      </c>
      <c r="O61" s="119">
        <f ca="1">IF(L61&gt;0,N61*100/L61,0)</f>
        <v>52.662637540453076</v>
      </c>
      <c r="P61" s="119">
        <f ca="1">IF(M61&gt;0,N61*100/M61,0)</f>
        <v>69.793346736362423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494400</v>
      </c>
      <c r="M62" s="48">
        <f ca="1">M63+M64</f>
        <v>373050</v>
      </c>
      <c r="N62" s="48">
        <f ca="1">N63+N64</f>
        <v>260364.08</v>
      </c>
      <c r="O62" s="48">
        <f ca="1">IF(L62&gt;0,N62*100/L62,0)</f>
        <v>52.662637540453076</v>
      </c>
      <c r="P62" s="48">
        <f ca="1">IF(M62&gt;0,N62*100/M62,0)</f>
        <v>69.793346736362423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IFERROR(__xludf.DUMMYFUNCTION("IMPORTRANGE(""https://docs.google.com/spreadsheets/d/1-uDff_7J0KD5mKrp0Vvzr7lt3OU09vwQwhkpOPPYv2Y/edit?usp=sharing"",""งบพรบ!AC77"")"),494400)</f>
        <v>494400</v>
      </c>
      <c r="M64" s="48">
        <f ca="1">IFERROR(__xludf.DUMMYFUNCTION("IMPORTRANGE(""https://docs.google.com/spreadsheets/d/1-uDff_7J0KD5mKrp0Vvzr7lt3OU09vwQwhkpOPPYv2Y/edit?usp=sharing"",""งบพรบ!AH77"")"),373050)</f>
        <v>373050</v>
      </c>
      <c r="N64" s="48">
        <f ca="1">IFERROR(__xludf.DUMMYFUNCTION("IMPORTRANGE(""https://docs.google.com/spreadsheets/d/1-uDff_7J0KD5mKrp0Vvzr7lt3OU09vwQwhkpOPPYv2Y/edit?usp=sharing"",""งบพรบ!AJ77"")"),260364.08)</f>
        <v>260364.08</v>
      </c>
      <c r="O64" s="48">
        <f ca="1">IF(L64&gt;0,N64*100/L64,0)</f>
        <v>52.662637540453076</v>
      </c>
      <c r="P64" s="48">
        <f ca="1">IF(M64&gt;0,N64*100/M64,0)</f>
        <v>69.793346736362423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IFERROR(__xludf.DUMMYFUNCTION("IMPORTRANGE(""https://docs.google.com/spreadsheets/d/1-uDff_7J0KD5mKrp0Vvzr7lt3OU09vwQwhkpOPPYv2Y/edit?usp=sharing"",""งบพรบ!AF77"")"),0)</f>
        <v>0</v>
      </c>
      <c r="M67" s="59">
        <f ca="1">IFERROR(__xludf.DUMMYFUNCTION("IMPORTRANGE(""https://docs.google.com/spreadsheets/d/1-uDff_7J0KD5mKrp0Vvzr7lt3OU09vwQwhkpOPPYv2Y/edit?usp=sharing"",""งบพรบ!AI77"")"),0)</f>
        <v>0</v>
      </c>
      <c r="N67" s="59">
        <f ca="1">IFERROR(__xludf.DUMMYFUNCTION("IMPORTRANGE(""https://docs.google.com/spreadsheets/d/1-uDff_7J0KD5mKrp0Vvzr7lt3OU09vwQwhkpOPPYv2Y/edit?usp=sharing"",""งบพรบ!AK77"")"),0)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IFERROR(__xludf.DUMMYFUNCTION("IMPORTRANGE(""https://docs.google.com/spreadsheets/d/1-uDff_7J0KD5mKrp0Vvzr7lt3OU09vwQwhkpOPPYv2Y/edit?usp=sharing"",""งบพรบ!AM77"")"),0)</f>
        <v>0</v>
      </c>
      <c r="M77" s="48">
        <f ca="1">IFERROR(__xludf.DUMMYFUNCTION("IMPORTRANGE(""https://docs.google.com/spreadsheets/d/1-uDff_7J0KD5mKrp0Vvzr7lt3OU09vwQwhkpOPPYv2Y/edit?usp=sharing"",""งบพรบ!AR77"")"),0)</f>
        <v>0</v>
      </c>
      <c r="N77" s="48">
        <f ca="1">IFERROR(__xludf.DUMMYFUNCTION("IMPORTRANGE(""https://docs.google.com/spreadsheets/d/1-uDff_7J0KD5mKrp0Vvzr7lt3OU09vwQwhkpOPPYv2Y/edit?usp=sharing"",""งบพรบ!AT77"")"),0)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IFERROR(__xludf.DUMMYFUNCTION("IMPORTRANGE(""https://docs.google.com/spreadsheets/d/1-uDff_7J0KD5mKrp0Vvzr7lt3OU09vwQwhkpOPPYv2Y/edit?usp=sharing"",""งบพรบ!AP77"")"),0)</f>
        <v>0</v>
      </c>
      <c r="M80" s="48">
        <f ca="1">IFERROR(__xludf.DUMMYFUNCTION("IMPORTRANGE(""https://docs.google.com/spreadsheets/d/1-uDff_7J0KD5mKrp0Vvzr7lt3OU09vwQwhkpOPPYv2Y/edit?usp=sharing"",""งบพรบ!AS77"")"),0)</f>
        <v>0</v>
      </c>
      <c r="N80" s="48">
        <f ca="1">IFERROR(__xludf.DUMMYFUNCTION("IMPORTRANGE(""https://docs.google.com/spreadsheets/d/1-uDff_7J0KD5mKrp0Vvzr7lt3OU09vwQwhkpOPPYv2Y/edit?usp=sharing"",""งบพรบ!AU77"")"),0)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IFERROR(__xludf.DUMMYFUNCTION("IMPORTRANGE(""https://docs.google.com/spreadsheets/d/1eHaY18a8A9IcSdp1K8H6x8fbOy06t2VsZHhMHf-1x7Y/edit?usp=sharing"",""แผน!H77"")"),0)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IFERROR(__xludf.DUMMYFUNCTION("IMPORTRANGE(""https://docs.google.com/spreadsheets/d/1eHaY18a8A9IcSdp1K8H6x8fbOy06t2VsZHhMHf-1x7Y/edit?usp=sharing"",""แผน!I77"")"),0)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IFERROR(__xludf.DUMMYFUNCTION("IMPORTRANGE(""https://docs.google.com/spreadsheets/d/1eHaY18a8A9IcSdp1K8H6x8fbOy06t2VsZHhMHf-1x7Y/edit?usp=sharing"",""แผน!F77"")"),0)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IFERROR(__xludf.DUMMYFUNCTION("IMPORTRANGE(""https://docs.google.com/spreadsheets/d/1eHaY18a8A9IcSdp1K8H6x8fbOy06t2VsZHhMHf-1x7Y/edit?usp=sharing"",""แผน!G77"")"),0)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IFERROR(__xludf.DUMMYFUNCTION("IMPORTRANGE(""https://docs.google.com/spreadsheets/d/1eHaY18a8A9IcSdp1K8H6x8fbOy06t2VsZHhMHf-1x7Y/edit?usp=sharing"",""แผน!D77"")"),0)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IFERROR(__xludf.DUMMYFUNCTION("IMPORTRANGE(""https://docs.google.com/spreadsheets/d/1eHaY18a8A9IcSdp1K8H6x8fbOy06t2VsZHhMHf-1x7Y/edit?usp=sharing"",""แผน!E77"")"),0)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IFERROR(__xludf.DUMMYFUNCTION("IMPORTRANGE(""https://docs.google.com/spreadsheets/d/1eHaY18a8A9IcSdp1K8H6x8fbOy06t2VsZHhMHf-1x7Y/edit?usp=sharing"",""แผน!J77"")"),0)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IFERROR(__xludf.DUMMYFUNCTION("IMPORTRANGE(""https://docs.google.com/spreadsheets/d/1-uDff_7J0KD5mKrp0Vvzr7lt3OU09vwQwhkpOPPYv2Y/edit?usp=sharing"",""งบพรบ!AW77"")"),0)</f>
        <v>0</v>
      </c>
      <c r="M99" s="48">
        <f ca="1">IFERROR(__xludf.DUMMYFUNCTION("IMPORTRANGE(""https://docs.google.com/spreadsheets/d/1-uDff_7J0KD5mKrp0Vvzr7lt3OU09vwQwhkpOPPYv2Y/edit?usp=sharing"",""งบพรบ!BB77"")"),0)</f>
        <v>0</v>
      </c>
      <c r="N99" s="48">
        <f ca="1">IFERROR(__xludf.DUMMYFUNCTION("IMPORTRANGE(""https://docs.google.com/spreadsheets/d/1-uDff_7J0KD5mKrp0Vvzr7lt3OU09vwQwhkpOPPYv2Y/edit?usp=sharing"",""งบพรบ!BD77"")"),0)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IFERROR(__xludf.DUMMYFUNCTION("IMPORTRANGE(""https://docs.google.com/spreadsheets/d/1-uDff_7J0KD5mKrp0Vvzr7lt3OU09vwQwhkpOPPYv2Y/edit?usp=sharing"",""งบพรบ!AZ77"")"),0)</f>
        <v>0</v>
      </c>
      <c r="M102" s="48">
        <f ca="1">IFERROR(__xludf.DUMMYFUNCTION("IMPORTRANGE(""https://docs.google.com/spreadsheets/d/1-uDff_7J0KD5mKrp0Vvzr7lt3OU09vwQwhkpOPPYv2Y/edit?usp=sharing"",""งบพรบ!BC77"")"),0)</f>
        <v>0</v>
      </c>
      <c r="N102" s="48">
        <f ca="1">IFERROR(__xludf.DUMMYFUNCTION("IMPORTRANGE(""https://docs.google.com/spreadsheets/d/1-uDff_7J0KD5mKrp0Vvzr7lt3OU09vwQwhkpOPPYv2Y/edit?usp=sharing"",""งบพรบ!BE77"")"),0)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IFERROR(__xludf.DUMMYFUNCTION("IMPORTRANGE(""https://docs.google.com/spreadsheets/d/1eHaY18a8A9IcSdp1K8H6x8fbOy06t2VsZHhMHf-1x7Y/edit?usp=sharing"",""แผน!N77"")"),0)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IFERROR(__xludf.DUMMYFUNCTION("IMPORTRANGE(""https://docs.google.com/spreadsheets/d/1eHaY18a8A9IcSdp1K8H6x8fbOy06t2VsZHhMHf-1x7Y/edit?usp=sharing"",""แผน!O77"")"),0)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IFERROR(__xludf.DUMMYFUNCTION("IMPORTRANGE(""https://docs.google.com/spreadsheets/d/1eHaY18a8A9IcSdp1K8H6x8fbOy06t2VsZHhMHf-1x7Y/edit?usp=sharing"",""แผน!R77"")"),0)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IFERROR(__xludf.DUMMYFUNCTION("IMPORTRANGE(""https://docs.google.com/spreadsheets/d/1-uDff_7J0KD5mKrp0Vvzr7lt3OU09vwQwhkpOPPYv2Y/edit?usp=sharing"",""งบพรบ!BG77"")"),0)</f>
        <v>0</v>
      </c>
      <c r="M130" s="178">
        <f ca="1">IFERROR(__xludf.DUMMYFUNCTION("IMPORTRANGE(""https://docs.google.com/spreadsheets/d/1-uDff_7J0KD5mKrp0Vvzr7lt3OU09vwQwhkpOPPYv2Y/edit?usp=sharing"",""งบพรบ!BL77"")"),0)</f>
        <v>0</v>
      </c>
      <c r="N130" s="178">
        <f ca="1">IFERROR(__xludf.DUMMYFUNCTION("IMPORTRANGE(""https://docs.google.com/spreadsheets/d/1-uDff_7J0KD5mKrp0Vvzr7lt3OU09vwQwhkpOPPYv2Y/edit?usp=sharing"",""งบพรบ!BN77"")"),0)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IFERROR(__xludf.DUMMYFUNCTION("IMPORTRANGE(""https://docs.google.com/spreadsheets/d/1-uDff_7J0KD5mKrp0Vvzr7lt3OU09vwQwhkpOPPYv2Y/edit?usp=sharing"",""งบพรบ!BJ77"")"),0)</f>
        <v>0</v>
      </c>
      <c r="M133" s="178">
        <f ca="1">IFERROR(__xludf.DUMMYFUNCTION("IMPORTRANGE(""https://docs.google.com/spreadsheets/d/1-uDff_7J0KD5mKrp0Vvzr7lt3OU09vwQwhkpOPPYv2Y/edit?usp=sharing"",""งบพรบ!BM77"")"),0)</f>
        <v>0</v>
      </c>
      <c r="N133" s="178">
        <f ca="1">IFERROR(__xludf.DUMMYFUNCTION("IMPORTRANGE(""https://docs.google.com/spreadsheets/d/1-uDff_7J0KD5mKrp0Vvzr7lt3OU09vwQwhkpOPPYv2Y/edit?usp=sharing"",""งบพรบ!BO77"")"),0)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1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20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2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137700</v>
      </c>
      <c r="M139" s="141">
        <f ca="1">M140+M141</f>
        <v>107900</v>
      </c>
      <c r="N139" s="141">
        <f ca="1">N140+N141</f>
        <v>40829.4</v>
      </c>
      <c r="O139" s="141">
        <f ca="1">IF(L139&gt;0,N139*100/L139,0)</f>
        <v>29.650980392156864</v>
      </c>
      <c r="P139" s="141">
        <f ca="1">IF(M139&gt;0,N139*100/M139,0)</f>
        <v>37.840037071362374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137700</v>
      </c>
      <c r="M141" s="48">
        <f ca="1">M144+M147</f>
        <v>107900</v>
      </c>
      <c r="N141" s="48">
        <f ca="1">N144+N147</f>
        <v>40829.4</v>
      </c>
      <c r="O141" s="48">
        <f ca="1">IF(L141&gt;0,N141*100/L141,0)</f>
        <v>29.650980392156864</v>
      </c>
      <c r="P141" s="48">
        <f ca="1">IF(M141&gt;0,N141*100/M141,0)</f>
        <v>37.840037071362374</v>
      </c>
    </row>
    <row r="142" spans="1:16" ht="18.75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137700</v>
      </c>
      <c r="M142" s="48">
        <f ca="1">M143+M144</f>
        <v>107900</v>
      </c>
      <c r="N142" s="48">
        <f ca="1">N143+N144</f>
        <v>40829.4</v>
      </c>
      <c r="O142" s="48">
        <f ca="1">IF(L142&gt;0,N142*100/L142,0)</f>
        <v>29.650980392156864</v>
      </c>
      <c r="P142" s="48">
        <f ca="1">IF(M142&gt;0,N142*100/M142,0)</f>
        <v>37.840037071362374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IFERROR(__xludf.DUMMYFUNCTION("IMPORTRANGE(""https://docs.google.com/spreadsheets/d/1-uDff_7J0KD5mKrp0Vvzr7lt3OU09vwQwhkpOPPYv2Y/edit?usp=sharing"",""งบพรบ!BQ77"")"),137700)</f>
        <v>137700</v>
      </c>
      <c r="M144" s="48">
        <f ca="1">IFERROR(__xludf.DUMMYFUNCTION("IMPORTRANGE(""https://docs.google.com/spreadsheets/d/1-uDff_7J0KD5mKrp0Vvzr7lt3OU09vwQwhkpOPPYv2Y/edit?usp=sharing"",""งบพรบ!BV77"")"),107900)</f>
        <v>107900</v>
      </c>
      <c r="N144" s="48">
        <f ca="1">IFERROR(__xludf.DUMMYFUNCTION("IMPORTRANGE(""https://docs.google.com/spreadsheets/d/1-uDff_7J0KD5mKrp0Vvzr7lt3OU09vwQwhkpOPPYv2Y/edit?usp=sharing"",""งบพรบ!BX77"")"),40829.4)</f>
        <v>40829.4</v>
      </c>
      <c r="O144" s="48">
        <f ca="1">IF(L144&gt;0,N144*100/L144,0)</f>
        <v>29.650980392156864</v>
      </c>
      <c r="P144" s="48">
        <f ca="1">IF(M144&gt;0,N144*100/M144,0)</f>
        <v>37.840037071362374</v>
      </c>
    </row>
    <row r="145" spans="1:16" ht="18.75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IFERROR(__xludf.DUMMYFUNCTION("IMPORTRANGE(""https://docs.google.com/spreadsheets/d/1-uDff_7J0KD5mKrp0Vvzr7lt3OU09vwQwhkpOPPYv2Y/edit?usp=sharing"",""งบพรบ!BT77"")"),0)</f>
        <v>0</v>
      </c>
      <c r="M147" s="48">
        <f ca="1">IFERROR(__xludf.DUMMYFUNCTION("IMPORTRANGE(""https://docs.google.com/spreadsheets/d/1-uDff_7J0KD5mKrp0Vvzr7lt3OU09vwQwhkpOPPYv2Y/edit?usp=sharing"",""งบพรบ!BW77"")"),0)</f>
        <v>0</v>
      </c>
      <c r="N147" s="48">
        <f ca="1">IFERROR(__xludf.DUMMYFUNCTION("IMPORTRANGE(""https://docs.google.com/spreadsheets/d/1-uDff_7J0KD5mKrp0Vvzr7lt3OU09vwQwhkpOPPYv2Y/edit?usp=sharing"",""งบพรบ!BY77"")"),0)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IFERROR(__xludf.DUMMYFUNCTION("IMPORTRANGE(""https://docs.google.com/spreadsheets/d/1eHaY18a8A9IcSdp1K8H6x8fbOy06t2VsZHhMHf-1x7Y/edit?usp=sharing"",""แผน!U77"")"),10)</f>
        <v>10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IFERROR(__xludf.DUMMYFUNCTION("IMPORTRANGE(""https://docs.google.com/spreadsheets/d/1eHaY18a8A9IcSdp1K8H6x8fbOy06t2VsZHhMHf-1x7Y/edit?usp=sharing"",""แผน!V77"")"),1)</f>
        <v>1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IFERROR(__xludf.DUMMYFUNCTION("IMPORTRANGE(""https://docs.google.com/spreadsheets/d/1eHaY18a8A9IcSdp1K8H6x8fbOy06t2VsZHhMHf-1x7Y/edit?usp=sharing"",""แผน!W77"")"),20)</f>
        <v>20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IFERROR(__xludf.DUMMYFUNCTION("IMPORTRANGE(""https://docs.google.com/spreadsheets/d/1eHaY18a8A9IcSdp1K8H6x8fbOy06t2VsZHhMHf-1x7Y/edit?usp=sharing"",""แผน!X77"")"),2)</f>
        <v>2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IFERROR(__xludf.DUMMYFUNCTION("IMPORTRANGE(""https://docs.google.com/spreadsheets/d/1eHaY18a8A9IcSdp1K8H6x8fbOy06t2VsZHhMHf-1x7Y/edit?usp=sharing"",""แผน!Y77"")"),1)</f>
        <v>1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IFERROR(__xludf.DUMMYFUNCTION("IMPORTRANGE(""https://docs.google.com/spreadsheets/d/1-uDff_7J0KD5mKrp0Vvzr7lt3OU09vwQwhkpOPPYv2Y/edit?usp=sharing"",""งบพรบ!CA77"")"),0)</f>
        <v>0</v>
      </c>
      <c r="M162" s="48">
        <f ca="1">IFERROR(__xludf.DUMMYFUNCTION("IMPORTRANGE(""https://docs.google.com/spreadsheets/d/1-uDff_7J0KD5mKrp0Vvzr7lt3OU09vwQwhkpOPPYv2Y/edit?usp=sharing"",""งบพรบ!CF77"")"),0)</f>
        <v>0</v>
      </c>
      <c r="N162" s="48">
        <f ca="1">IFERROR(__xludf.DUMMYFUNCTION("IMPORTRANGE(""https://docs.google.com/spreadsheets/d/1-uDff_7J0KD5mKrp0Vvzr7lt3OU09vwQwhkpOPPYv2Y/edit?usp=sharing"",""งบพรบ!CH77"")"),0)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IFERROR(__xludf.DUMMYFUNCTION("IMPORTRANGE(""https://docs.google.com/spreadsheets/d/1-uDff_7J0KD5mKrp0Vvzr7lt3OU09vwQwhkpOPPYv2Y/edit?usp=sharing"",""งบพรบ!CD77"")"),0)</f>
        <v>0</v>
      </c>
      <c r="M165" s="48">
        <f ca="1">IFERROR(__xludf.DUMMYFUNCTION("IMPORTRANGE(""https://docs.google.com/spreadsheets/d/1-uDff_7J0KD5mKrp0Vvzr7lt3OU09vwQwhkpOPPYv2Y/edit?usp=sharing"",""งบพรบ!CG77"")"),0)</f>
        <v>0</v>
      </c>
      <c r="N165" s="48">
        <f ca="1">IFERROR(__xludf.DUMMYFUNCTION("IMPORTRANGE(""https://docs.google.com/spreadsheets/d/1-uDff_7J0KD5mKrp0Vvzr7lt3OU09vwQwhkpOPPYv2Y/edit?usp=sharing"",""งบพรบ!CI77"")"),0)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IFERROR(__xludf.DUMMYFUNCTION("IMPORTRANGE(""https://docs.google.com/spreadsheets/d/1eHaY18a8A9IcSdp1K8H6x8fbOy06t2VsZHhMHf-1x7Y/edit?usp=sharing"",""แผน!Z77"")"),0)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IFERROR(__xludf.DUMMYFUNCTION("IMPORTRANGE(""https://docs.google.com/spreadsheets/d/1eHaY18a8A9IcSdp1K8H6x8fbOy06t2VsZHhMHf-1x7Y/edit?usp=sharing"",""แผน!Z77"")"),0)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IFERROR(__xludf.DUMMYFUNCTION("IMPORTRANGE(""https://docs.google.com/spreadsheets/d/1eHaY18a8A9IcSdp1K8H6x8fbOy06t2VsZHhMHf-1x7Y/edit?usp=sharing"",""แผน!Z77"")"),0)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0</v>
      </c>
      <c r="O173" s="141">
        <f ca="1">IF(L173&gt;0,N173*100/L173,0)</f>
        <v>0</v>
      </c>
      <c r="P173" s="141">
        <f ca="1">IF(M173&gt;0,N173*100/M173,0)</f>
        <v>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0</v>
      </c>
      <c r="O175" s="48">
        <f ca="1">IF(L175&gt;0,N175*100/L175,0)</f>
        <v>0</v>
      </c>
      <c r="P175" s="48">
        <f ca="1">IF(M175&gt;0,N175*100/M175,0)</f>
        <v>0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0</v>
      </c>
      <c r="O176" s="48">
        <f ca="1">IF(L176&gt;0,N176*100/L176,0)</f>
        <v>0</v>
      </c>
      <c r="P176" s="48">
        <f ca="1">IF(M176&gt;0,N176*100/M176,0)</f>
        <v>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IFERROR(__xludf.DUMMYFUNCTION("IMPORTRANGE(""https://docs.google.com/spreadsheets/d/1-uDff_7J0KD5mKrp0Vvzr7lt3OU09vwQwhkpOPPYv2Y/edit?usp=sharing"",""งบพรบ!CK77"")"),19590)</f>
        <v>19590</v>
      </c>
      <c r="M178" s="48">
        <f ca="1">IFERROR(__xludf.DUMMYFUNCTION("IMPORTRANGE(""https://docs.google.com/spreadsheets/d/1-uDff_7J0KD5mKrp0Vvzr7lt3OU09vwQwhkpOPPYv2Y/edit?usp=sharing"",""งบพรบ!CP77"")"),19590)</f>
        <v>19590</v>
      </c>
      <c r="N178" s="48">
        <f ca="1">IFERROR(__xludf.DUMMYFUNCTION("IMPORTRANGE(""https://docs.google.com/spreadsheets/d/1-uDff_7J0KD5mKrp0Vvzr7lt3OU09vwQwhkpOPPYv2Y/edit?usp=sharing"",""งบพรบ!CR77"")"),0)</f>
        <v>0</v>
      </c>
      <c r="O178" s="48">
        <f ca="1">IF(L178&gt;0,N178*100/L178,0)</f>
        <v>0</v>
      </c>
      <c r="P178" s="48">
        <f ca="1">IF(M178&gt;0,N178*100/M178,0)</f>
        <v>0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IFERROR(__xludf.DUMMYFUNCTION("IMPORTRANGE(""https://docs.google.com/spreadsheets/d/1-uDff_7J0KD5mKrp0Vvzr7lt3OU09vwQwhkpOPPYv2Y/edit?usp=sharing"",""งบพรบ!CN77"")"),0)</f>
        <v>0</v>
      </c>
      <c r="M181" s="48">
        <f ca="1">IFERROR(__xludf.DUMMYFUNCTION("IMPORTRANGE(""https://docs.google.com/spreadsheets/d/1-uDff_7J0KD5mKrp0Vvzr7lt3OU09vwQwhkpOPPYv2Y/edit?usp=sharing"",""งบพรบ!CQ77"")"),0)</f>
        <v>0</v>
      </c>
      <c r="N181" s="48">
        <f ca="1">IFERROR(__xludf.DUMMYFUNCTION("IMPORTRANGE(""https://docs.google.com/spreadsheets/d/1-uDff_7J0KD5mKrp0Vvzr7lt3OU09vwQwhkpOPPYv2Y/edit?usp=sharing"",""งบพรบ!CS77"")"),0)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IFERROR(__xludf.DUMMYFUNCTION("IMPORTRANGE(""https://docs.google.com/spreadsheets/d/1eHaY18a8A9IcSdp1K8H6x8fbOy06t2VsZHhMHf-1x7Y/edit?usp=sharing"",""แผน!AA77"")"),7)</f>
        <v>7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23500</v>
      </c>
      <c r="M186" s="141">
        <f ca="1">M187+M188</f>
        <v>13500</v>
      </c>
      <c r="N186" s="141">
        <f ca="1">N187+N188</f>
        <v>0</v>
      </c>
      <c r="O186" s="141">
        <f ca="1">IF(L186&gt;0,N186*100/L186,0)</f>
        <v>0</v>
      </c>
      <c r="P186" s="141">
        <f ca="1">IF(M186&gt;0,N186*100/M186,0)</f>
        <v>0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23500</v>
      </c>
      <c r="M188" s="48">
        <f ca="1">M191+M194</f>
        <v>13500</v>
      </c>
      <c r="N188" s="48">
        <f ca="1">N191+N194</f>
        <v>0</v>
      </c>
      <c r="O188" s="48">
        <f ca="1">IF(L188&gt;0,N188*100/L188,0)</f>
        <v>0</v>
      </c>
      <c r="P188" s="48">
        <f ca="1">IF(M188&gt;0,N188*100/M188,0)</f>
        <v>0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23500</v>
      </c>
      <c r="M189" s="48">
        <f ca="1">M190+M191</f>
        <v>13500</v>
      </c>
      <c r="N189" s="48">
        <f ca="1">N190+N191</f>
        <v>0</v>
      </c>
      <c r="O189" s="48">
        <f ca="1">IF(L189&gt;0,N189*100/L189,0)</f>
        <v>0</v>
      </c>
      <c r="P189" s="48">
        <f ca="1">IF(M189&gt;0,N189*100/M189,0)</f>
        <v>0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IFERROR(__xludf.DUMMYFUNCTION("IMPORTRANGE(""https://docs.google.com/spreadsheets/d/1-uDff_7J0KD5mKrp0Vvzr7lt3OU09vwQwhkpOPPYv2Y/edit?usp=sharing"",""งบพรบ!CU77"")"),23500)</f>
        <v>23500</v>
      </c>
      <c r="M191" s="48">
        <f ca="1">IFERROR(__xludf.DUMMYFUNCTION("IMPORTRANGE(""https://docs.google.com/spreadsheets/d/1-uDff_7J0KD5mKrp0Vvzr7lt3OU09vwQwhkpOPPYv2Y/edit?usp=sharing"",""งบพรบ!CZ77"")"),13500)</f>
        <v>13500</v>
      </c>
      <c r="N191" s="48">
        <f ca="1">IFERROR(__xludf.DUMMYFUNCTION("IMPORTRANGE(""https://docs.google.com/spreadsheets/d/1-uDff_7J0KD5mKrp0Vvzr7lt3OU09vwQwhkpOPPYv2Y/edit?usp=sharing"",""งบพรบ!DB77"")"),0)</f>
        <v>0</v>
      </c>
      <c r="O191" s="48">
        <f ca="1">IF(L191&gt;0,N191*100/L191,0)</f>
        <v>0</v>
      </c>
      <c r="P191" s="48">
        <f ca="1">IF(M191&gt;0,N191*100/M191,0)</f>
        <v>0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IFERROR(__xludf.DUMMYFUNCTION("IMPORTRANGE(""https://docs.google.com/spreadsheets/d/1-uDff_7J0KD5mKrp0Vvzr7lt3OU09vwQwhkpOPPYv2Y/edit?usp=sharing"",""งบพรบ!CX77"")"),0)</f>
        <v>0</v>
      </c>
      <c r="M194" s="48">
        <f ca="1">IFERROR(__xludf.DUMMYFUNCTION("IMPORTRANGE(""https://docs.google.com/spreadsheets/d/1-uDff_7J0KD5mKrp0Vvzr7lt3OU09vwQwhkpOPPYv2Y/edit?usp=sharing"",""งบพรบ!DA77"")"),0)</f>
        <v>0</v>
      </c>
      <c r="N194" s="48">
        <f ca="1">IFERROR(__xludf.DUMMYFUNCTION("IMPORTRANGE(""https://docs.google.com/spreadsheets/d/1-uDff_7J0KD5mKrp0Vvzr7lt3OU09vwQwhkpOPPYv2Y/edit?usp=sharing"",""งบพรบ!DC77"")"),0)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IFERROR(__xludf.DUMMYFUNCTION("IMPORTRANGE(""https://docs.google.com/spreadsheets/d/1eHaY18a8A9IcSdp1K8H6x8fbOy06t2VsZHhMHf-1x7Y/edit?usp=sharing"",""แผน!AB77"")"),6000)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IFERROR(__xludf.DUMMYFUNCTION("IMPORTRANGE(""https://docs.google.com/spreadsheets/d/1eHaY18a8A9IcSdp1K8H6x8fbOy06t2VsZHhMHf-1x7Y/edit?usp=sharing"",""แผน!AE77"")"),4)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1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13000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IFERROR(__xludf.DUMMYFUNCTION("IMPORTRANGE(""https://docs.google.com/spreadsheets/d/1eHaY18a8A9IcSdp1K8H6x8fbOy06t2VsZHhMHf-1x7Y/edit?usp=sharing"",""แผน!AG77"")"),1000)</f>
        <v>1000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IFERROR(__xludf.DUMMYFUNCTION("IMPORTRANGE(""https://docs.google.com/spreadsheets/d/1eHaY18a8A9IcSdp1K8H6x8fbOy06t2VsZHhMHf-1x7Y/edit?usp=sharing"",""แผน!AH77"")"),0)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IFERROR(__xludf.DUMMYFUNCTION("IMPORTRANGE(""https://docs.google.com/spreadsheets/d/1eHaY18a8A9IcSdp1K8H6x8fbOy06t2VsZHhMHf-1x7Y/edit?usp=sharing"",""แผน!AI77"")"),8000)</f>
        <v>8000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IFERROR(__xludf.DUMMYFUNCTION("IMPORTRANGE(""https://docs.google.com/spreadsheets/d/1eHaY18a8A9IcSdp1K8H6x8fbOy06t2VsZHhMHf-1x7Y/edit?usp=sharing"",""แผน!AJ77"")"),4000)</f>
        <v>4000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IFERROR(__xludf.DUMMYFUNCTION("IMPORTRANGE(""https://docs.google.com/spreadsheets/d/1eHaY18a8A9IcSdp1K8H6x8fbOy06t2VsZHhMHf-1x7Y/edit?usp=sharing"",""แผน!AK77"")"),1)</f>
        <v>1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IFERROR(__xludf.DUMMYFUNCTION("IMPORTRANGE(""https://docs.google.com/spreadsheets/d/1eHaY18a8A9IcSdp1K8H6x8fbOy06t2VsZHhMHf-1x7Y/edit?usp=sharing"",""แผน!AK77"")"),1)</f>
        <v>1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IFERROR(__xludf.DUMMYFUNCTION("IMPORTRANGE(""https://docs.google.com/spreadsheets/d/1eHaY18a8A9IcSdp1K8H6x8fbOy06t2VsZHhMHf-1x7Y/edit?usp=sharing"",""แผน!AK77"")"),1)</f>
        <v>1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IFERROR(__xludf.DUMMYFUNCTION("IMPORTRANGE(""https://docs.google.com/spreadsheets/d/1eHaY18a8A9IcSdp1K8H6x8fbOy06t2VsZHhMHf-1x7Y/edit?usp=sharing"",""แผน!AM77"")"),0)</f>
        <v>0</v>
      </c>
      <c r="M215" s="47"/>
      <c r="N215" s="249">
        <v>0</v>
      </c>
      <c r="O215" s="146"/>
      <c r="P215" s="47"/>
    </row>
    <row r="216" spans="1:16" ht="18.75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IFERROR(__xludf.DUMMYFUNCTION("IMPORTRANGE(""https://docs.google.com/spreadsheets/d/1eHaY18a8A9IcSdp1K8H6x8fbOy06t2VsZHhMHf-1x7Y/edit?usp=sharing"",""แผน!AN77"")"),0)</f>
        <v>0</v>
      </c>
      <c r="M216" s="47"/>
      <c r="N216" s="249">
        <v>0</v>
      </c>
      <c r="O216" s="146"/>
      <c r="P216" s="47"/>
    </row>
    <row r="217" spans="1:16" ht="18.75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IFERROR(__xludf.DUMMYFUNCTION("IMPORTRANGE(""https://docs.google.com/spreadsheets/d/1eHaY18a8A9IcSdp1K8H6x8fbOy06t2VsZHhMHf-1x7Y/edit?usp=sharing"",""แผน!AO77"")"),0)</f>
        <v>0</v>
      </c>
      <c r="M217" s="47"/>
      <c r="N217" s="249">
        <v>0</v>
      </c>
      <c r="O217" s="146"/>
      <c r="P217" s="47"/>
    </row>
    <row r="218" spans="1:16" ht="19.5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IFERROR(__xludf.DUMMYFUNCTION("IMPORTRANGE(""https://docs.google.com/spreadsheets/d/1eHaY18a8A9IcSdp1K8H6x8fbOy06t2VsZHhMHf-1x7Y/edit?usp=sharing"",""แผน!AP77"")"),0)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IFERROR(__xludf.DUMMYFUNCTION("IMPORTRANGE(""https://docs.google.com/spreadsheets/d/1eHaY18a8A9IcSdp1K8H6x8fbOy06t2VsZHhMHf-1x7Y/edit?usp=sharing"",""แผน!AP77"")"),0)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10000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IFERROR(__xludf.DUMMYFUNCTION("IMPORTRANGE(""https://docs.google.com/spreadsheets/d/1eHaY18a8A9IcSdp1K8H6x8fbOy06t2VsZHhMHf-1x7Y/edit?usp=sharing"",""แผน!AR77"")"),3000)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IFERROR(__xludf.DUMMYFUNCTION("IMPORTRANGE(""https://docs.google.com/spreadsheets/d/1eHaY18a8A9IcSdp1K8H6x8fbOy06t2VsZHhMHf-1x7Y/edit?usp=sharing"",""แผน!AS77"")"),1500)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IFERROR(__xludf.DUMMYFUNCTION("IMPORTRANGE(""https://docs.google.com/spreadsheets/d/1eHaY18a8A9IcSdp1K8H6x8fbOy06t2VsZHhMHf-1x7Y/edit?usp=sharing"",""แผน!AT77"")"),0)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IFERROR(__xludf.DUMMYFUNCTION("IMPORTRANGE(""https://docs.google.com/spreadsheets/d/1eHaY18a8A9IcSdp1K8H6x8fbOy06t2VsZHhMHf-1x7Y/edit?usp=sharing"",""แผน!AV77"")"),10000)</f>
        <v>10000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IFERROR(__xludf.DUMMYFUNCTION("IMPORTRANGE(""https://docs.google.com/spreadsheets/d/1eHaY18a8A9IcSdp1K8H6x8fbOy06t2VsZHhMHf-1x7Y/edit?usp=sharing"",""แผน!AV77"")"),10000)</f>
        <v>10000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IFERROR(__xludf.DUMMYFUNCTION("IMPORTRANGE(""https://docs.google.com/spreadsheets/d/1eHaY18a8A9IcSdp1K8H6x8fbOy06t2VsZHhMHf-1x7Y/edit?usp=sharing"",""แผน!AU77"")"),0)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53"/>
      <c r="B242" s="254"/>
      <c r="C242" s="255" t="s">
        <v>107</v>
      </c>
      <c r="D242" s="256"/>
      <c r="E242" s="256"/>
      <c r="F242" s="256"/>
      <c r="G242" s="257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61"/>
      <c r="M242" s="261"/>
      <c r="N242" s="261"/>
      <c r="O242" s="261"/>
      <c r="P242" s="261"/>
    </row>
    <row r="243" spans="1:16" ht="19.5" hidden="1" x14ac:dyDescent="0.3">
      <c r="A243" s="262"/>
      <c r="B243" s="263"/>
      <c r="C243" s="264" t="s">
        <v>16</v>
      </c>
      <c r="D243" s="265" t="s">
        <v>17</v>
      </c>
      <c r="E243" s="263"/>
      <c r="F243" s="263"/>
      <c r="G243" s="266"/>
      <c r="H243" s="267" t="s">
        <v>12</v>
      </c>
      <c r="I243" s="268"/>
      <c r="J243" s="268"/>
      <c r="K243" s="269"/>
      <c r="L243" s="270">
        <f ca="1">L244+L245+L246+L247</f>
        <v>0</v>
      </c>
      <c r="M243" s="271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262"/>
      <c r="B244" s="272"/>
      <c r="C244" s="263"/>
      <c r="D244" s="296" t="s">
        <v>89</v>
      </c>
      <c r="E244" s="263"/>
      <c r="F244" s="263"/>
      <c r="G244" s="266"/>
      <c r="H244" s="147" t="s">
        <v>12</v>
      </c>
      <c r="I244" s="268"/>
      <c r="J244" s="268"/>
      <c r="K244" s="269"/>
      <c r="L244" s="51">
        <f ca="1">IFERROR(__xludf.DUMMYFUNCTION("IMPORTRANGE(""https://docs.google.com/spreadsheets/d/1eHaY18a8A9IcSdp1K8H6x8fbOy06t2VsZHhMHf-1x7Y/edit?usp=sharing"",""แผน!AX77"")"),0)</f>
        <v>0</v>
      </c>
      <c r="M244" s="271"/>
      <c r="N244" s="287">
        <v>0</v>
      </c>
      <c r="O244" s="271"/>
      <c r="P244" s="271"/>
    </row>
    <row r="245" spans="1:16" ht="18.75" hidden="1" x14ac:dyDescent="0.25">
      <c r="A245" s="273"/>
      <c r="B245" s="272"/>
      <c r="C245" s="272"/>
      <c r="D245" s="296" t="s">
        <v>82</v>
      </c>
      <c r="E245" s="263"/>
      <c r="F245" s="263"/>
      <c r="G245" s="266"/>
      <c r="H245" s="147" t="s">
        <v>12</v>
      </c>
      <c r="I245" s="274"/>
      <c r="J245" s="274"/>
      <c r="K245" s="271"/>
      <c r="L245" s="51">
        <f ca="1">IFERROR(__xludf.DUMMYFUNCTION("IMPORTRANGE(""https://docs.google.com/spreadsheets/d/1eHaY18a8A9IcSdp1K8H6x8fbOy06t2VsZHhMHf-1x7Y/edit?usp=sharing"",""แผน!AY77"")"),0)</f>
        <v>0</v>
      </c>
      <c r="M245" s="271"/>
      <c r="N245" s="287">
        <v>0</v>
      </c>
      <c r="O245" s="271"/>
      <c r="P245" s="271"/>
    </row>
    <row r="246" spans="1:16" ht="18.75" hidden="1" x14ac:dyDescent="0.25">
      <c r="A246" s="273"/>
      <c r="B246" s="272"/>
      <c r="C246" s="272"/>
      <c r="D246" s="296" t="s">
        <v>102</v>
      </c>
      <c r="E246" s="263"/>
      <c r="F246" s="263"/>
      <c r="G246" s="266"/>
      <c r="H246" s="147" t="s">
        <v>12</v>
      </c>
      <c r="I246" s="274"/>
      <c r="J246" s="274"/>
      <c r="K246" s="271"/>
      <c r="L246" s="51">
        <f ca="1">IFERROR(__xludf.DUMMYFUNCTION("IMPORTRANGE(""https://docs.google.com/spreadsheets/d/1eHaY18a8A9IcSdp1K8H6x8fbOy06t2VsZHhMHf-1x7Y/edit?usp=sharing"",""แผน!AZ77"")"),0)</f>
        <v>0</v>
      </c>
      <c r="M246" s="271"/>
      <c r="N246" s="287">
        <v>0</v>
      </c>
      <c r="O246" s="271"/>
      <c r="P246" s="271"/>
    </row>
    <row r="247" spans="1:16" ht="18.75" hidden="1" x14ac:dyDescent="0.25">
      <c r="A247" s="273"/>
      <c r="B247" s="272"/>
      <c r="C247" s="272"/>
      <c r="D247" s="296" t="s">
        <v>103</v>
      </c>
      <c r="E247" s="263"/>
      <c r="F247" s="263"/>
      <c r="G247" s="266"/>
      <c r="H247" s="147" t="s">
        <v>12</v>
      </c>
      <c r="I247" s="274"/>
      <c r="J247" s="274"/>
      <c r="K247" s="271"/>
      <c r="L247" s="51">
        <f ca="1">IFERROR(__xludf.DUMMYFUNCTION("IMPORTRANGE(""https://docs.google.com/spreadsheets/d/1eHaY18a8A9IcSdp1K8H6x8fbOy06t2VsZHhMHf-1x7Y/edit?usp=sharing"",""แผน!BA77"")"),0)</f>
        <v>0</v>
      </c>
      <c r="M247" s="271"/>
      <c r="N247" s="287">
        <v>0</v>
      </c>
      <c r="O247" s="271"/>
      <c r="P247" s="271"/>
    </row>
    <row r="248" spans="1:16" ht="19.5" hidden="1" x14ac:dyDescent="0.3">
      <c r="A248" s="275"/>
      <c r="B248" s="276"/>
      <c r="C248" s="277" t="s">
        <v>16</v>
      </c>
      <c r="D248" s="451" t="s">
        <v>36</v>
      </c>
      <c r="E248" s="279"/>
      <c r="F248" s="279"/>
      <c r="G248" s="280"/>
      <c r="H248" s="281"/>
      <c r="I248" s="268"/>
      <c r="J248" s="274"/>
      <c r="K248" s="271"/>
      <c r="L248" s="271"/>
      <c r="M248" s="271"/>
      <c r="N248" s="271"/>
      <c r="O248" s="269"/>
      <c r="P248" s="269"/>
    </row>
    <row r="249" spans="1:16" ht="18.75" hidden="1" x14ac:dyDescent="0.25">
      <c r="A249" s="275"/>
      <c r="B249" s="276"/>
      <c r="C249" s="276"/>
      <c r="D249" s="282" t="s">
        <v>104</v>
      </c>
      <c r="E249" s="283"/>
      <c r="F249" s="283"/>
      <c r="G249" s="281"/>
      <c r="H249" s="284" t="s">
        <v>33</v>
      </c>
      <c r="I249" s="201">
        <f ca="1">IFERROR(__xludf.DUMMYFUNCTION("IMPORTRANGE(""https://docs.google.com/spreadsheets/d/1eHaY18a8A9IcSdp1K8H6x8fbOy06t2VsZHhMHf-1x7Y/edit?usp=sharing"",""แผน!BG77"")"),0)</f>
        <v>0</v>
      </c>
      <c r="J249" s="202">
        <v>0</v>
      </c>
      <c r="K249" s="51">
        <f ca="1">IF(I249&gt;0,J249*100/I249,0)</f>
        <v>0</v>
      </c>
      <c r="L249" s="271"/>
      <c r="M249" s="271"/>
      <c r="N249" s="271"/>
      <c r="O249" s="271"/>
      <c r="P249" s="271"/>
    </row>
    <row r="250" spans="1:16" ht="18.75" hidden="1" x14ac:dyDescent="0.25">
      <c r="A250" s="275"/>
      <c r="B250" s="276"/>
      <c r="C250" s="276"/>
      <c r="D250" s="285" t="s">
        <v>41</v>
      </c>
      <c r="E250" s="283"/>
      <c r="F250" s="283"/>
      <c r="G250" s="281"/>
      <c r="H250" s="281"/>
      <c r="I250" s="274"/>
      <c r="J250" s="274"/>
      <c r="K250" s="271"/>
      <c r="L250" s="271"/>
      <c r="M250" s="271"/>
      <c r="N250" s="271"/>
      <c r="O250" s="269"/>
      <c r="P250" s="269"/>
    </row>
    <row r="251" spans="1:16" ht="18.75" hidden="1" x14ac:dyDescent="0.25">
      <c r="A251" s="275"/>
      <c r="B251" s="276"/>
      <c r="C251" s="276"/>
      <c r="D251" s="276"/>
      <c r="E251" s="286" t="s">
        <v>105</v>
      </c>
      <c r="F251" s="283"/>
      <c r="G251" s="281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271"/>
      <c r="M251" s="271"/>
      <c r="N251" s="271"/>
      <c r="O251" s="271"/>
      <c r="P251" s="271"/>
    </row>
    <row r="252" spans="1:16" ht="18.75" hidden="1" x14ac:dyDescent="0.25">
      <c r="A252" s="275"/>
      <c r="B252" s="276"/>
      <c r="C252" s="276"/>
      <c r="D252" s="276"/>
      <c r="E252" s="286" t="s">
        <v>106</v>
      </c>
      <c r="F252" s="283"/>
      <c r="G252" s="281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271"/>
      <c r="M252" s="271"/>
      <c r="N252" s="271"/>
      <c r="O252" s="271"/>
      <c r="P252" s="271"/>
    </row>
    <row r="253" spans="1:16" ht="19.5" hidden="1" x14ac:dyDescent="0.3">
      <c r="A253" s="253"/>
      <c r="B253" s="254"/>
      <c r="C253" s="255" t="s">
        <v>108</v>
      </c>
      <c r="D253" s="256"/>
      <c r="E253" s="256"/>
      <c r="F253" s="256"/>
      <c r="G253" s="257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61"/>
      <c r="M253" s="261"/>
      <c r="N253" s="261"/>
      <c r="O253" s="261"/>
      <c r="P253" s="261"/>
    </row>
    <row r="254" spans="1:16" ht="19.5" hidden="1" x14ac:dyDescent="0.3">
      <c r="A254" s="262"/>
      <c r="B254" s="263"/>
      <c r="C254" s="264" t="s">
        <v>16</v>
      </c>
      <c r="D254" s="477" t="s">
        <v>17</v>
      </c>
      <c r="E254" s="263"/>
      <c r="F254" s="263"/>
      <c r="G254" s="266"/>
      <c r="H254" s="267" t="s">
        <v>12</v>
      </c>
      <c r="I254" s="268"/>
      <c r="J254" s="268"/>
      <c r="K254" s="269"/>
      <c r="L254" s="270">
        <f ca="1">L255+L256+L257+L258</f>
        <v>0</v>
      </c>
      <c r="M254" s="271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262"/>
      <c r="B255" s="272"/>
      <c r="C255" s="263"/>
      <c r="D255" s="296" t="s">
        <v>89</v>
      </c>
      <c r="E255" s="263"/>
      <c r="F255" s="263"/>
      <c r="G255" s="266"/>
      <c r="H255" s="147" t="s">
        <v>12</v>
      </c>
      <c r="I255" s="268"/>
      <c r="J255" s="268"/>
      <c r="K255" s="269"/>
      <c r="L255" s="51">
        <f ca="1">IFERROR(__xludf.DUMMYFUNCTION("IMPORTRANGE(""https://docs.google.com/spreadsheets/d/1eHaY18a8A9IcSdp1K8H6x8fbOy06t2VsZHhMHf-1x7Y/edit?usp=sharing"",""แผน!BB77"")"),0)</f>
        <v>0</v>
      </c>
      <c r="M255" s="271"/>
      <c r="N255" s="287">
        <v>0</v>
      </c>
      <c r="O255" s="271"/>
      <c r="P255" s="271"/>
    </row>
    <row r="256" spans="1:16" ht="18.75" hidden="1" x14ac:dyDescent="0.25">
      <c r="A256" s="273"/>
      <c r="B256" s="272"/>
      <c r="C256" s="272"/>
      <c r="D256" s="296" t="s">
        <v>82</v>
      </c>
      <c r="E256" s="263"/>
      <c r="F256" s="263"/>
      <c r="G256" s="266"/>
      <c r="H256" s="147" t="s">
        <v>12</v>
      </c>
      <c r="I256" s="274"/>
      <c r="J256" s="274"/>
      <c r="K256" s="271"/>
      <c r="L256" s="51">
        <f ca="1">IFERROR(__xludf.DUMMYFUNCTION("IMPORTRANGE(""https://docs.google.com/spreadsheets/d/1eHaY18a8A9IcSdp1K8H6x8fbOy06t2VsZHhMHf-1x7Y/edit?usp=sharing"",""แผน!BC77"")"),0)</f>
        <v>0</v>
      </c>
      <c r="M256" s="271"/>
      <c r="N256" s="287">
        <v>0</v>
      </c>
      <c r="O256" s="271"/>
      <c r="P256" s="271"/>
    </row>
    <row r="257" spans="1:16" ht="18.75" hidden="1" x14ac:dyDescent="0.25">
      <c r="A257" s="273"/>
      <c r="B257" s="272"/>
      <c r="C257" s="272"/>
      <c r="D257" s="296" t="s">
        <v>102</v>
      </c>
      <c r="E257" s="263"/>
      <c r="F257" s="263"/>
      <c r="G257" s="266"/>
      <c r="H257" s="147" t="s">
        <v>12</v>
      </c>
      <c r="I257" s="274"/>
      <c r="J257" s="274"/>
      <c r="K257" s="271"/>
      <c r="L257" s="51">
        <f ca="1">IFERROR(__xludf.DUMMYFUNCTION("IMPORTRANGE(""https://docs.google.com/spreadsheets/d/1eHaY18a8A9IcSdp1K8H6x8fbOy06t2VsZHhMHf-1x7Y/edit?usp=sharing"",""แผน!BD77"")"),0)</f>
        <v>0</v>
      </c>
      <c r="M257" s="271"/>
      <c r="N257" s="287">
        <v>0</v>
      </c>
      <c r="O257" s="271"/>
      <c r="P257" s="271"/>
    </row>
    <row r="258" spans="1:16" ht="18.75" hidden="1" x14ac:dyDescent="0.25">
      <c r="A258" s="273"/>
      <c r="B258" s="272"/>
      <c r="C258" s="272"/>
      <c r="D258" s="296" t="s">
        <v>103</v>
      </c>
      <c r="E258" s="263"/>
      <c r="F258" s="263"/>
      <c r="G258" s="266"/>
      <c r="H258" s="147" t="s">
        <v>12</v>
      </c>
      <c r="I258" s="274"/>
      <c r="J258" s="274"/>
      <c r="K258" s="271"/>
      <c r="L258" s="51">
        <f ca="1">IFERROR(__xludf.DUMMYFUNCTION("IMPORTRANGE(""https://docs.google.com/spreadsheets/d/1eHaY18a8A9IcSdp1K8H6x8fbOy06t2VsZHhMHf-1x7Y/edit?usp=sharing"",""แผน!BE77"")"),0)</f>
        <v>0</v>
      </c>
      <c r="M258" s="271"/>
      <c r="N258" s="287">
        <v>0</v>
      </c>
      <c r="O258" s="271"/>
      <c r="P258" s="271"/>
    </row>
    <row r="259" spans="1:16" ht="19.5" hidden="1" x14ac:dyDescent="0.3">
      <c r="A259" s="275"/>
      <c r="B259" s="276"/>
      <c r="C259" s="277" t="s">
        <v>16</v>
      </c>
      <c r="D259" s="451" t="s">
        <v>36</v>
      </c>
      <c r="E259" s="279"/>
      <c r="F259" s="279"/>
      <c r="G259" s="280"/>
      <c r="H259" s="281"/>
      <c r="I259" s="268"/>
      <c r="J259" s="274"/>
      <c r="K259" s="271"/>
      <c r="L259" s="271"/>
      <c r="M259" s="271"/>
      <c r="N259" s="271"/>
      <c r="O259" s="269"/>
      <c r="P259" s="269"/>
    </row>
    <row r="260" spans="1:16" ht="18.75" hidden="1" x14ac:dyDescent="0.25">
      <c r="A260" s="275"/>
      <c r="B260" s="276"/>
      <c r="C260" s="276"/>
      <c r="D260" s="282" t="s">
        <v>104</v>
      </c>
      <c r="E260" s="283"/>
      <c r="F260" s="283"/>
      <c r="G260" s="281"/>
      <c r="H260" s="284" t="s">
        <v>33</v>
      </c>
      <c r="I260" s="201">
        <f ca="1">IFERROR(__xludf.DUMMYFUNCTION("IMPORTRANGE(""https://docs.google.com/spreadsheets/d/1eHaY18a8A9IcSdp1K8H6x8fbOy06t2VsZHhMHf-1x7Y/edit?usp=sharing"",""แผน!BH77"")"),0)</f>
        <v>0</v>
      </c>
      <c r="J260" s="202">
        <v>0</v>
      </c>
      <c r="K260" s="51">
        <f ca="1">IF(I260&gt;0,J260*100/I260,0)</f>
        <v>0</v>
      </c>
      <c r="L260" s="271"/>
      <c r="M260" s="271"/>
      <c r="N260" s="271"/>
      <c r="O260" s="271"/>
      <c r="P260" s="271"/>
    </row>
    <row r="261" spans="1:16" ht="18.75" hidden="1" x14ac:dyDescent="0.25">
      <c r="A261" s="275"/>
      <c r="B261" s="276"/>
      <c r="C261" s="276"/>
      <c r="D261" s="285" t="s">
        <v>41</v>
      </c>
      <c r="E261" s="283"/>
      <c r="F261" s="283"/>
      <c r="G261" s="281"/>
      <c r="H261" s="281"/>
      <c r="I261" s="274"/>
      <c r="J261" s="274"/>
      <c r="K261" s="271"/>
      <c r="L261" s="271"/>
      <c r="M261" s="271"/>
      <c r="N261" s="271"/>
      <c r="O261" s="269"/>
      <c r="P261" s="269"/>
    </row>
    <row r="262" spans="1:16" ht="18.75" hidden="1" x14ac:dyDescent="0.25">
      <c r="A262" s="275"/>
      <c r="B262" s="276"/>
      <c r="C262" s="276"/>
      <c r="D262" s="276"/>
      <c r="E262" s="286" t="s">
        <v>105</v>
      </c>
      <c r="F262" s="283"/>
      <c r="G262" s="281"/>
      <c r="H262" s="284" t="s">
        <v>33</v>
      </c>
      <c r="I262" s="274"/>
      <c r="J262" s="202">
        <v>0</v>
      </c>
      <c r="K262" s="51">
        <f>IF(I262&gt;0,J262*100/I262,0)</f>
        <v>0</v>
      </c>
      <c r="L262" s="271"/>
      <c r="M262" s="271"/>
      <c r="N262" s="271"/>
      <c r="O262" s="271"/>
      <c r="P262" s="271"/>
    </row>
    <row r="263" spans="1:16" ht="18.75" hidden="1" x14ac:dyDescent="0.25">
      <c r="A263" s="275"/>
      <c r="B263" s="276"/>
      <c r="C263" s="276"/>
      <c r="D263" s="276"/>
      <c r="E263" s="286" t="s">
        <v>106</v>
      </c>
      <c r="F263" s="283"/>
      <c r="G263" s="281"/>
      <c r="H263" s="284" t="s">
        <v>54</v>
      </c>
      <c r="I263" s="274"/>
      <c r="J263" s="202">
        <v>0</v>
      </c>
      <c r="K263" s="51">
        <f>IF(I263&gt;0,J263*100/I263,0)</f>
        <v>0</v>
      </c>
      <c r="L263" s="271"/>
      <c r="M263" s="271"/>
      <c r="N263" s="271"/>
      <c r="O263" s="271"/>
      <c r="P263" s="271"/>
    </row>
    <row r="264" spans="1:16" ht="19.5" hidden="1" x14ac:dyDescent="0.3">
      <c r="A264" s="289" t="s">
        <v>109</v>
      </c>
      <c r="B264" s="502"/>
      <c r="C264" s="502"/>
      <c r="D264" s="501"/>
      <c r="E264" s="501"/>
      <c r="F264" s="501"/>
      <c r="G264" s="500"/>
      <c r="H264" s="500"/>
      <c r="I264" s="499"/>
      <c r="J264" s="499"/>
      <c r="K264" s="498"/>
      <c r="L264" s="498"/>
      <c r="M264" s="498"/>
      <c r="N264" s="498"/>
      <c r="O264" s="498"/>
      <c r="P264" s="498"/>
    </row>
    <row r="265" spans="1:16" ht="19.5" hidden="1" x14ac:dyDescent="0.3">
      <c r="A265" s="497"/>
      <c r="B265" s="290" t="s">
        <v>110</v>
      </c>
      <c r="C265" s="496"/>
      <c r="D265" s="279"/>
      <c r="E265" s="279"/>
      <c r="F265" s="279"/>
      <c r="G265" s="280"/>
      <c r="H265" s="291" t="s">
        <v>33</v>
      </c>
      <c r="I265" s="495">
        <f>I276</f>
        <v>0</v>
      </c>
      <c r="J265" s="495">
        <f>J276</f>
        <v>0</v>
      </c>
      <c r="K265" s="293">
        <f>IF(I265&gt;0,J265*100/I265,0)</f>
        <v>0</v>
      </c>
      <c r="L265" s="494"/>
      <c r="M265" s="494"/>
      <c r="N265" s="494"/>
      <c r="O265" s="494"/>
      <c r="P265" s="494"/>
    </row>
    <row r="266" spans="1:16" ht="19.5" hidden="1" x14ac:dyDescent="0.3">
      <c r="A266" s="262"/>
      <c r="B266" s="263"/>
      <c r="C266" s="264" t="s">
        <v>16</v>
      </c>
      <c r="D266" s="265" t="s">
        <v>17</v>
      </c>
      <c r="E266" s="263"/>
      <c r="F266" s="263"/>
      <c r="G266" s="266"/>
      <c r="H266" s="294" t="s">
        <v>12</v>
      </c>
      <c r="I266" s="274"/>
      <c r="J266" s="274"/>
      <c r="K266" s="271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262"/>
      <c r="B267" s="263"/>
      <c r="C267" s="263"/>
      <c r="D267" s="263"/>
      <c r="E267" s="296" t="s">
        <v>18</v>
      </c>
      <c r="F267" s="263"/>
      <c r="G267" s="266"/>
      <c r="H267" s="142" t="s">
        <v>12</v>
      </c>
      <c r="I267" s="274"/>
      <c r="J267" s="274"/>
      <c r="K267" s="271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262"/>
      <c r="B268" s="263"/>
      <c r="C268" s="263"/>
      <c r="D268" s="263"/>
      <c r="E268" s="296" t="s">
        <v>19</v>
      </c>
      <c r="F268" s="263"/>
      <c r="G268" s="266"/>
      <c r="H268" s="142" t="s">
        <v>12</v>
      </c>
      <c r="I268" s="274"/>
      <c r="J268" s="274"/>
      <c r="K268" s="271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262"/>
      <c r="B269" s="263"/>
      <c r="C269" s="263"/>
      <c r="D269" s="295" t="s">
        <v>20</v>
      </c>
      <c r="E269" s="263"/>
      <c r="F269" s="263"/>
      <c r="G269" s="266"/>
      <c r="H269" s="147" t="s">
        <v>12</v>
      </c>
      <c r="I269" s="268"/>
      <c r="J269" s="268"/>
      <c r="K269" s="269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262"/>
      <c r="B270" s="263"/>
      <c r="C270" s="263"/>
      <c r="D270" s="263"/>
      <c r="E270" s="296" t="s">
        <v>34</v>
      </c>
      <c r="F270" s="263"/>
      <c r="G270" s="266"/>
      <c r="H270" s="147" t="s">
        <v>12</v>
      </c>
      <c r="I270" s="268"/>
      <c r="J270" s="268"/>
      <c r="K270" s="269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262"/>
      <c r="B271" s="263"/>
      <c r="C271" s="263"/>
      <c r="D271" s="263"/>
      <c r="E271" s="296" t="s">
        <v>35</v>
      </c>
      <c r="F271" s="263"/>
      <c r="G271" s="266"/>
      <c r="H271" s="147" t="s">
        <v>12</v>
      </c>
      <c r="I271" s="268"/>
      <c r="J271" s="268"/>
      <c r="K271" s="269"/>
      <c r="L271" s="51">
        <f ca="1">IFERROR(__xludf.DUMMYFUNCTION("IMPORTRANGE(""https://docs.google.com/spreadsheets/d/1-uDff_7J0KD5mKrp0Vvzr7lt3OU09vwQwhkpOPPYv2Y/edit?usp=sharing"",""งบพรบ!DE77"")"),0)</f>
        <v>0</v>
      </c>
      <c r="M271" s="51">
        <f ca="1">IFERROR(__xludf.DUMMYFUNCTION("IMPORTRANGE(""https://docs.google.com/spreadsheets/d/1-uDff_7J0KD5mKrp0Vvzr7lt3OU09vwQwhkpOPPYv2Y/edit?usp=sharing"",""งบพรบ!DJ77"")"),0)</f>
        <v>0</v>
      </c>
      <c r="N271" s="51">
        <f ca="1">IFERROR(__xludf.DUMMYFUNCTION("IMPORTRANGE(""https://docs.google.com/spreadsheets/d/1-uDff_7J0KD5mKrp0Vvzr7lt3OU09vwQwhkpOPPYv2Y/edit?usp=sharing"",""งบพรบ!DL77"")"),0)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262"/>
      <c r="B272" s="263"/>
      <c r="C272" s="263"/>
      <c r="D272" s="295" t="s">
        <v>21</v>
      </c>
      <c r="E272" s="263"/>
      <c r="F272" s="263"/>
      <c r="G272" s="266"/>
      <c r="H272" s="200" t="s">
        <v>12</v>
      </c>
      <c r="I272" s="268"/>
      <c r="J272" s="268"/>
      <c r="K272" s="269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262"/>
      <c r="B273" s="263"/>
      <c r="C273" s="263"/>
      <c r="D273" s="263"/>
      <c r="E273" s="296" t="s">
        <v>18</v>
      </c>
      <c r="F273" s="263"/>
      <c r="G273" s="266"/>
      <c r="H273" s="147" t="s">
        <v>12</v>
      </c>
      <c r="I273" s="268"/>
      <c r="J273" s="268"/>
      <c r="K273" s="269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262"/>
      <c r="B274" s="263"/>
      <c r="C274" s="263"/>
      <c r="D274" s="263"/>
      <c r="E274" s="296" t="s">
        <v>19</v>
      </c>
      <c r="F274" s="263"/>
      <c r="G274" s="266"/>
      <c r="H274" s="200" t="s">
        <v>12</v>
      </c>
      <c r="I274" s="268"/>
      <c r="J274" s="268"/>
      <c r="K274" s="269"/>
      <c r="L274" s="51">
        <f ca="1">IFERROR(__xludf.DUMMYFUNCTION("IMPORTRANGE(""https://docs.google.com/spreadsheets/d/1-uDff_7J0KD5mKrp0Vvzr7lt3OU09vwQwhkpOPPYv2Y/edit?usp=sharing"",""งบพรบ!DH77"")"),0)</f>
        <v>0</v>
      </c>
      <c r="M274" s="51">
        <f ca="1">IFERROR(__xludf.DUMMYFUNCTION("IMPORTRANGE(""https://docs.google.com/spreadsheets/d/1-uDff_7J0KD5mKrp0Vvzr7lt3OU09vwQwhkpOPPYv2Y/edit?usp=sharing"",""งบพรบ!DK77"")"),0)</f>
        <v>0</v>
      </c>
      <c r="N274" s="51">
        <f ca="1">IFERROR(__xludf.DUMMYFUNCTION("IMPORTRANGE(""https://docs.google.com/spreadsheets/d/1-uDff_7J0KD5mKrp0Vvzr7lt3OU09vwQwhkpOPPYv2Y/edit?usp=sharing"",""งบพรบ!DM77"")"),0)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275"/>
      <c r="B275" s="276"/>
      <c r="C275" s="296" t="s">
        <v>16</v>
      </c>
      <c r="D275" s="451" t="s">
        <v>36</v>
      </c>
      <c r="E275" s="279"/>
      <c r="F275" s="279"/>
      <c r="G275" s="280"/>
      <c r="H275" s="281"/>
      <c r="I275" s="268"/>
      <c r="J275" s="268"/>
      <c r="K275" s="269"/>
      <c r="L275" s="269"/>
      <c r="M275" s="269"/>
      <c r="N275" s="269"/>
      <c r="O275" s="269"/>
      <c r="P275" s="269"/>
    </row>
    <row r="276" spans="1:16" ht="12.75" hidden="1" x14ac:dyDescent="0.2">
      <c r="A276" s="493"/>
      <c r="B276" s="492"/>
      <c r="C276" s="492"/>
      <c r="D276" s="491"/>
      <c r="E276" s="491"/>
      <c r="F276" s="491"/>
      <c r="G276" s="490"/>
      <c r="H276" s="490"/>
      <c r="I276" s="489"/>
      <c r="J276" s="489"/>
      <c r="K276" s="488"/>
      <c r="L276" s="488"/>
      <c r="M276" s="488"/>
      <c r="N276" s="488"/>
      <c r="O276" s="488"/>
      <c r="P276" s="488"/>
    </row>
    <row r="277" spans="1:16" ht="18.75" hidden="1" x14ac:dyDescent="0.25">
      <c r="A277" s="487"/>
      <c r="B277" s="486"/>
      <c r="C277" s="486"/>
      <c r="D277" s="299" t="s">
        <v>111</v>
      </c>
      <c r="E277" s="485"/>
      <c r="F277" s="485"/>
      <c r="G277" s="484"/>
      <c r="H277" s="302" t="s">
        <v>33</v>
      </c>
      <c r="I277" s="206">
        <v>0</v>
      </c>
      <c r="J277" s="206">
        <v>0</v>
      </c>
      <c r="K277" s="303">
        <v>0</v>
      </c>
      <c r="L277" s="483"/>
      <c r="M277" s="483"/>
      <c r="N277" s="483"/>
      <c r="O277" s="483"/>
      <c r="P277" s="483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IFERROR(__xludf.DUMMYFUNCTION("IMPORTRANGE(""https://docs.google.com/spreadsheets/d/1-uDff_7J0KD5mKrp0Vvzr7lt3OU09vwQwhkpOPPYv2Y/edit?usp=sharing"",""งบพรบ!DO77"")"),0)</f>
        <v>0</v>
      </c>
      <c r="M287" s="48">
        <f ca="1">IFERROR(__xludf.DUMMYFUNCTION("IMPORTRANGE(""https://docs.google.com/spreadsheets/d/1-uDff_7J0KD5mKrp0Vvzr7lt3OU09vwQwhkpOPPYv2Y/edit?usp=sharing"",""งบพรบ!DT77"")"),0)</f>
        <v>0</v>
      </c>
      <c r="N287" s="48">
        <f ca="1">IFERROR(__xludf.DUMMYFUNCTION("IMPORTRANGE(""https://docs.google.com/spreadsheets/d/1-uDff_7J0KD5mKrp0Vvzr7lt3OU09vwQwhkpOPPYv2Y/edit?usp=sharing"",""งบพรบ!DV77"")"),0)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IFERROR(__xludf.DUMMYFUNCTION("IMPORTRANGE(""https://docs.google.com/spreadsheets/d/1-uDff_7J0KD5mKrp0Vvzr7lt3OU09vwQwhkpOPPYv2Y/edit?usp=sharing"",""งบพรบ!DR77"")"),0)</f>
        <v>0</v>
      </c>
      <c r="M290" s="48">
        <f ca="1">IFERROR(__xludf.DUMMYFUNCTION("IMPORTRANGE(""https://docs.google.com/spreadsheets/d/1-uDff_7J0KD5mKrp0Vvzr7lt3OU09vwQwhkpOPPYv2Y/edit?usp=sharing"",""งบพรบ!DU77"")"),0)</f>
        <v>0</v>
      </c>
      <c r="N290" s="48">
        <f ca="1">IFERROR(__xludf.DUMMYFUNCTION("IMPORTRANGE(""https://docs.google.com/spreadsheets/d/1-uDff_7J0KD5mKrp0Vvzr7lt3OU09vwQwhkpOPPYv2Y/edit?usp=sharing"",""งบพรบ!DW77"")"),0)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IFERROR(__xludf.DUMMYFUNCTION("IMPORTRANGE(""https://docs.google.com/spreadsheets/d/1eHaY18a8A9IcSdp1K8H6x8fbOy06t2VsZHhMHf-1x7Y/edit?usp=sharing"",""แผน!EE77"")"),0)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IFERROR(__xludf.DUMMYFUNCTION("IMPORTRANGE(""https://docs.google.com/spreadsheets/d/1eHaY18a8A9IcSdp1K8H6x8fbOy06t2VsZHhMHf-1x7Y/edit?usp=sharing"",""แผน!ED77"")"),0)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IFERROR(__xludf.DUMMYFUNCTION("IMPORTRANGE(""https://docs.google.com/spreadsheets/d/1eHaY18a8A9IcSdp1K8H6x8fbOy06t2VsZHhMHf-1x7Y/edit?usp=sharing"",""แผน!ED77"")"),0)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IFERROR(__xludf.DUMMYFUNCTION("IMPORTRANGE(""https://docs.google.com/spreadsheets/d/1eHaY18a8A9IcSdp1K8H6x8fbOy06t2VsZHhMHf-1x7Y/edit?usp=sharing"",""แผน!ED77"")"),0)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IFERROR(__xludf.DUMMYFUNCTION("IMPORTRANGE(""https://docs.google.com/spreadsheets/d/1-uDff_7J0KD5mKrp0Vvzr7lt3OU09vwQwhkpOPPYv2Y/edit?usp=sharing"",""งบพรบ!DY77"")"),0)</f>
        <v>0</v>
      </c>
      <c r="M308" s="48">
        <f ca="1">IFERROR(__xludf.DUMMYFUNCTION("IMPORTRANGE(""https://docs.google.com/spreadsheets/d/1-uDff_7J0KD5mKrp0Vvzr7lt3OU09vwQwhkpOPPYv2Y/edit?usp=sharing"",""งบพรบ!ED77"")"),0)</f>
        <v>0</v>
      </c>
      <c r="N308" s="48">
        <f ca="1">IFERROR(__xludf.DUMMYFUNCTION("IMPORTRANGE(""https://docs.google.com/spreadsheets/d/1-uDff_7J0KD5mKrp0Vvzr7lt3OU09vwQwhkpOPPYv2Y/edit?usp=sharing"",""งบพรบ!EF77"")"),0)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IFERROR(__xludf.DUMMYFUNCTION("IMPORTRANGE(""https://docs.google.com/spreadsheets/d/1-uDff_7J0KD5mKrp0Vvzr7lt3OU09vwQwhkpOPPYv2Y/edit?usp=sharing"",""งบพรบ!EB77"")"),0)</f>
        <v>0</v>
      </c>
      <c r="M311" s="48">
        <f ca="1">IFERROR(__xludf.DUMMYFUNCTION("IMPORTRANGE(""https://docs.google.com/spreadsheets/d/1-uDff_7J0KD5mKrp0Vvzr7lt3OU09vwQwhkpOPPYv2Y/edit?usp=sharing"",""งบพรบ!EE77"")"),0)</f>
        <v>0</v>
      </c>
      <c r="N311" s="48">
        <f ca="1">IFERROR(__xludf.DUMMYFUNCTION("IMPORTRANGE(""https://docs.google.com/spreadsheets/d/1-uDff_7J0KD5mKrp0Vvzr7lt3OU09vwQwhkpOPPYv2Y/edit?usp=sharing"",""งบพรบ!EG77"")"),0)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IFERROR(__xludf.DUMMYFUNCTION("IMPORTRANGE(""https://docs.google.com/spreadsheets/d/1eHaY18a8A9IcSdp1K8H6x8fbOy06t2VsZHhMHf-1x7Y/edit?usp=sharing"",""แผน!EF77"")"),0)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IFERROR(__xludf.DUMMYFUNCTION("IMPORTRANGE(""https://docs.google.com/spreadsheets/d/1eHaY18a8A9IcSdp1K8H6x8fbOy06t2VsZHhMHf-1x7Y/edit?usp=sharing"",""แผน!EG77"")"),0)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IFERROR(__xludf.DUMMYFUNCTION("IMPORTRANGE(""https://docs.google.com/spreadsheets/d/1eHaY18a8A9IcSdp1K8H6x8fbOy06t2VsZHhMHf-1x7Y/edit?usp=sharing"",""แผน!EH77"")"),0)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IFERROR(__xludf.DUMMYFUNCTION("IMPORTRANGE(""https://docs.google.com/spreadsheets/d/1eHaY18a8A9IcSdp1K8H6x8fbOy06t2VsZHhMHf-1x7Y/edit?usp=sharing"",""แผน!EI77"")"),0)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hidden="1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IFERROR(__xludf.DUMMYFUNCTION("IMPORTRANGE(""https://docs.google.com/spreadsheets/d/1-uDff_7J0KD5mKrp0Vvzr7lt3OU09vwQwhkpOPPYv2Y/edit?usp=sharing"",""งบพรบ!EI77"")"),0)</f>
        <v>0</v>
      </c>
      <c r="M325" s="48">
        <f ca="1">IFERROR(__xludf.DUMMYFUNCTION("IMPORTRANGE(""https://docs.google.com/spreadsheets/d/1-uDff_7J0KD5mKrp0Vvzr7lt3OU09vwQwhkpOPPYv2Y/edit?usp=sharing"",""งบพรบ!EN77"")"),0)</f>
        <v>0</v>
      </c>
      <c r="N325" s="48">
        <f ca="1">IFERROR(__xludf.DUMMYFUNCTION("IMPORTRANGE(""https://docs.google.com/spreadsheets/d/1-uDff_7J0KD5mKrp0Vvzr7lt3OU09vwQwhkpOPPYv2Y/edit?usp=sharing"",""งบพรบ!EP77"")"),0)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IFERROR(__xludf.DUMMYFUNCTION("IMPORTRANGE(""https://docs.google.com/spreadsheets/d/1-uDff_7J0KD5mKrp0Vvzr7lt3OU09vwQwhkpOPPYv2Y/edit?usp=sharing"",""งบพรบ!EL77"")"),0)</f>
        <v>0</v>
      </c>
      <c r="M328" s="48">
        <f ca="1">IFERROR(__xludf.DUMMYFUNCTION("IMPORTRANGE(""https://docs.google.com/spreadsheets/d/1-uDff_7J0KD5mKrp0Vvzr7lt3OU09vwQwhkpOPPYv2Y/edit?usp=sharing"",""งบพรบ!EO77"")"),0)</f>
        <v>0</v>
      </c>
      <c r="N328" s="48">
        <f ca="1">IFERROR(__xludf.DUMMYFUNCTION("IMPORTRANGE(""https://docs.google.com/spreadsheets/d/1-uDff_7J0KD5mKrp0Vvzr7lt3OU09vwQwhkpOPPYv2Y/edit?usp=sharing"",""งบพรบ!EQ77"")"),0)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IFERROR(__xludf.DUMMYFUNCTION("IMPORTRANGE(""https://docs.google.com/spreadsheets/d/1eHaY18a8A9IcSdp1K8H6x8fbOy06t2VsZHhMHf-1x7Y/edit?usp=sharing"",""แผน!EJ77"")"),0)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1140</v>
      </c>
      <c r="J332" s="352">
        <f ca="1">J344+J347+J348+J349+J353</f>
        <v>852</v>
      </c>
      <c r="K332" s="353">
        <f ca="1">IF(I332&gt;0,J332*100/I332,0)</f>
        <v>74.736842105263165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106000</v>
      </c>
      <c r="M333" s="141">
        <f ca="1">M334+M335</f>
        <v>85750</v>
      </c>
      <c r="N333" s="141">
        <f ca="1">N334+N335</f>
        <v>12383.33</v>
      </c>
      <c r="O333" s="141">
        <f ca="1">IF(L333&gt;0,N333*100/L333,0)</f>
        <v>11.68238679245283</v>
      </c>
      <c r="P333" s="141">
        <f ca="1">IF(M333&gt;0,N333*100/M333,0)</f>
        <v>14.441201166180758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106000</v>
      </c>
      <c r="M335" s="48">
        <f ca="1">M338+M341</f>
        <v>85750</v>
      </c>
      <c r="N335" s="48">
        <f ca="1">N338+N341</f>
        <v>12383.33</v>
      </c>
      <c r="O335" s="48">
        <f ca="1">IF(L335&gt;0,N335*100/L335,0)</f>
        <v>11.68238679245283</v>
      </c>
      <c r="P335" s="48">
        <f ca="1">IF(M335&gt;0,N335*100/M335,0)</f>
        <v>14.441201166180758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106000</v>
      </c>
      <c r="M336" s="48">
        <f ca="1">M337+M338</f>
        <v>85750</v>
      </c>
      <c r="N336" s="48">
        <f ca="1">N337+N338</f>
        <v>12383.33</v>
      </c>
      <c r="O336" s="48">
        <f ca="1">IF(L336&gt;0,N336*100/L336,0)</f>
        <v>11.68238679245283</v>
      </c>
      <c r="P336" s="48">
        <f ca="1">IF(M336&gt;0,N336*100/M336,0)</f>
        <v>14.441201166180758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IFERROR(__xludf.DUMMYFUNCTION("IMPORTRANGE(""https://docs.google.com/spreadsheets/d/1-uDff_7J0KD5mKrp0Vvzr7lt3OU09vwQwhkpOPPYv2Y/edit?usp=sharing"",""งบพรบ!ES77"")"),106000)</f>
        <v>106000</v>
      </c>
      <c r="M338" s="48">
        <f ca="1">IFERROR(__xludf.DUMMYFUNCTION("IMPORTRANGE(""https://docs.google.com/spreadsheets/d/1-uDff_7J0KD5mKrp0Vvzr7lt3OU09vwQwhkpOPPYv2Y/edit?usp=sharing"",""งบพรบ!EX77"")"),85750)</f>
        <v>85750</v>
      </c>
      <c r="N338" s="48">
        <f ca="1">IFERROR(__xludf.DUMMYFUNCTION("IMPORTRANGE(""https://docs.google.com/spreadsheets/d/1-uDff_7J0KD5mKrp0Vvzr7lt3OU09vwQwhkpOPPYv2Y/edit?usp=sharing"",""งบพรบ!EZ77"")"),12383.33)</f>
        <v>12383.33</v>
      </c>
      <c r="O338" s="48">
        <f ca="1">IF(L338&gt;0,N338*100/L338,0)</f>
        <v>11.68238679245283</v>
      </c>
      <c r="P338" s="48">
        <f ca="1">IF(M338&gt;0,N338*100/M338,0)</f>
        <v>14.441201166180758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IFERROR(__xludf.DUMMYFUNCTION("IMPORTRANGE(""https://docs.google.com/spreadsheets/d/1-uDff_7J0KD5mKrp0Vvzr7lt3OU09vwQwhkpOPPYv2Y/edit?usp=sharing"",""งบพรบ!EV77"")"),0)</f>
        <v>0</v>
      </c>
      <c r="M341" s="48">
        <f ca="1">IFERROR(__xludf.DUMMYFUNCTION("IMPORTRANGE(""https://docs.google.com/spreadsheets/d/1-uDff_7J0KD5mKrp0Vvzr7lt3OU09vwQwhkpOPPYv2Y/edit?usp=sharing"",""งบพรบ!EY77"")"),0)</f>
        <v>0</v>
      </c>
      <c r="N341" s="48">
        <f ca="1">IFERROR(__xludf.DUMMYFUNCTION("IMPORTRANGE(""https://docs.google.com/spreadsheets/d/1-uDff_7J0KD5mKrp0Vvzr7lt3OU09vwQwhkpOPPYv2Y/edit?usp=sharing"",""งบพรบ!FA77"")"),0)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0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IFERROR(__xludf.DUMMYFUNCTION("IMPORTRANGE(""https://docs.google.com/spreadsheets/d/1eHaY18a8A9IcSdp1K8H6x8fbOy06t2VsZHhMHf-1x7Y/edit?usp=sharing"",""แผน!EK77"")"),1140)</f>
        <v>1140</v>
      </c>
      <c r="J344" s="170">
        <f ca="1">IFERROR(__xludf.DUMMYFUNCTION("IMPORTRANGE(""https://docs.google.com/spreadsheets/d/1awYsYK3VOup2i3Pq_Yjnu8DRu_mYwSBnCR2QPthd0rU/edit?usp=sharing"",""ศูนย์ยกเว้นโฉนด!D77"")"),0)</f>
        <v>0</v>
      </c>
      <c r="K344" s="48">
        <f ca="1">IF(I344&gt;0,J344*100/I344,0)</f>
        <v>0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IFERROR(__xludf.DUMMYFUNCTION("IMPORTRANGE(""https://docs.google.com/spreadsheets/d/1eHaY18a8A9IcSdp1K8H6x8fbOy06t2VsZHhMHf-1x7Y/edit?usp=sharing"",""แผน!EL77"")"),3)</f>
        <v>3</v>
      </c>
      <c r="J346" s="170">
        <f ca="1">IFERROR(__xludf.DUMMYFUNCTION("IMPORTRANGE(""https://docs.google.com/spreadsheets/d/1awYsYK3VOup2i3Pq_Yjnu8DRu_mYwSBnCR2QPthd0rU/edit?usp=sharing"",""ศูนย์รวม!E77"")"),4)</f>
        <v>4</v>
      </c>
      <c r="K346" s="48">
        <f ca="1">IF(I346&gt;0,J346*100/I346,0)</f>
        <v>133.33333333333334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IFERROR(__xludf.DUMMYFUNCTION("IMPORTRANGE(""https://docs.google.com/spreadsheets/d/1awYsYK3VOup2i3Pq_Yjnu8DRu_mYwSBnCR2QPthd0rU/edit?usp=sharing"",""ศูนย์ยกเว้นโฉนด!F77"")"),0)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IFERROR(__xludf.DUMMYFUNCTION("IMPORTRANGE(""https://docs.google.com/spreadsheets/d/1awYsYK3VOup2i3Pq_Yjnu8DRu_mYwSBnCR2QPthd0rU/edit?usp=sharing"",""ศูนย์ยกเว้นโฉนด!G77"")"),0)</f>
        <v>0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IFERROR(__xludf.DUMMYFUNCTION("IMPORTRANGE(""https://docs.google.com/spreadsheets/d/1awYsYK3VOup2i3Pq_Yjnu8DRu_mYwSBnCR2QPthd0rU/edit?usp=sharing"",""ศูนย์ยกเว้นโฉนด!H77"")"),0)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3506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IFERROR(__xludf.DUMMYFUNCTION("IMPORTRANGE(""https://docs.google.com/spreadsheets/d/1awYsYK3VOup2i3Pq_Yjnu8DRu_mYwSBnCR2QPthd0rU/edit?usp=sharing"",""โฉนดM3!G77"")"),2654)</f>
        <v>2654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IFERROR(__xludf.DUMMYFUNCTION("IMPORTRANGE(""https://docs.google.com/spreadsheets/d/1awYsYK3VOup2i3Pq_Yjnu8DRu_mYwSBnCR2QPthd0rU/edit?usp=sharing"",""โฉนดM3!H77"")"),852)</f>
        <v>852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498260</v>
      </c>
      <c r="M356" s="141">
        <f ca="1">M357+M358</f>
        <v>379060</v>
      </c>
      <c r="N356" s="141">
        <f ca="1">N357+N358</f>
        <v>42487.26</v>
      </c>
      <c r="O356" s="141">
        <f ca="1">IF(L356&gt;0,N356*100/L356,0)</f>
        <v>8.5271263998715536</v>
      </c>
      <c r="P356" s="141">
        <f ca="1">IF(M356&gt;0,N356*100/M356,0)</f>
        <v>11.208584392972089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498260</v>
      </c>
      <c r="M358" s="48">
        <f ca="1">M361+M364</f>
        <v>379060</v>
      </c>
      <c r="N358" s="48">
        <f ca="1">N361+N364</f>
        <v>42487.26</v>
      </c>
      <c r="O358" s="48">
        <f ca="1">IF(L358&gt;0,N358*100/L358,0)</f>
        <v>8.5271263998715536</v>
      </c>
      <c r="P358" s="48">
        <f ca="1">IF(M358&gt;0,N358*100/M358,0)</f>
        <v>11.208584392972089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498260</v>
      </c>
      <c r="M359" s="48">
        <f ca="1">M360+M361</f>
        <v>379060</v>
      </c>
      <c r="N359" s="48">
        <f ca="1">N360+N361</f>
        <v>42487.26</v>
      </c>
      <c r="O359" s="48">
        <f ca="1">IF(L359&gt;0,N359*100/L359,0)</f>
        <v>8.5271263998715536</v>
      </c>
      <c r="P359" s="48">
        <f ca="1">IF(M359&gt;0,N359*100/M359,0)</f>
        <v>11.208584392972089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IFERROR(__xludf.DUMMYFUNCTION("IMPORTRANGE(""https://docs.google.com/spreadsheets/d/1-uDff_7J0KD5mKrp0Vvzr7lt3OU09vwQwhkpOPPYv2Y/edit?usp=sharing"",""งบพรบ!FC77"")"),498260)</f>
        <v>498260</v>
      </c>
      <c r="M361" s="48">
        <f ca="1">IFERROR(__xludf.DUMMYFUNCTION("IMPORTRANGE(""https://docs.google.com/spreadsheets/d/1-uDff_7J0KD5mKrp0Vvzr7lt3OU09vwQwhkpOPPYv2Y/edit?usp=sharing"",""งบพรบ!FH77"")"),379060)</f>
        <v>379060</v>
      </c>
      <c r="N361" s="48">
        <f ca="1">IFERROR(__xludf.DUMMYFUNCTION("IMPORTRANGE(""https://docs.google.com/spreadsheets/d/1-uDff_7J0KD5mKrp0Vvzr7lt3OU09vwQwhkpOPPYv2Y/edit?usp=sharing"",""งบพรบ!FJ77"")"),42487.26)</f>
        <v>42487.26</v>
      </c>
      <c r="O361" s="48">
        <f ca="1">IF(L361&gt;0,N361*100/L361,0)</f>
        <v>8.5271263998715536</v>
      </c>
      <c r="P361" s="48">
        <f ca="1">IF(M361&gt;0,N361*100/M361,0)</f>
        <v>11.208584392972089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IFERROR(__xludf.DUMMYFUNCTION("IMPORTRANGE(""https://docs.google.com/spreadsheets/d/1-uDff_7J0KD5mKrp0Vvzr7lt3OU09vwQwhkpOPPYv2Y/edit?usp=sharing"",""งบพรบ!FF77"")"),0)</f>
        <v>0</v>
      </c>
      <c r="M364" s="48">
        <f ca="1">IFERROR(__xludf.DUMMYFUNCTION("IMPORTRANGE(""https://docs.google.com/spreadsheets/d/1-uDff_7J0KD5mKrp0Vvzr7lt3OU09vwQwhkpOPPYv2Y/edit?usp=sharing"",""งบพรบ!FI77"")"),0)</f>
        <v>0</v>
      </c>
      <c r="N364" s="48">
        <f ca="1">IFERROR(__xludf.DUMMYFUNCTION("IMPORTRANGE(""https://docs.google.com/spreadsheets/d/1-uDff_7J0KD5mKrp0Vvzr7lt3OU09vwQwhkpOPPYv2Y/edit?usp=sharing"",""งบพรบ!FK77"")"),0)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63</v>
      </c>
      <c r="J365" s="240">
        <f ca="1">J371</f>
        <v>10</v>
      </c>
      <c r="K365" s="241">
        <f ca="1">IF(I365&gt;0,J365*100/I365,0)</f>
        <v>15.873015873015873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IFERROR(__xludf.DUMMYFUNCTION("IMPORTRANGE(""https://docs.google.com/spreadsheets/d/1tdoBKaGub7dwA3U6UFTqxio9LNnvDCQjHKmttSEBsFQ/edit?usp=sharing"",""จัดที่ดิน!AB77"")"),42)</f>
        <v>42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IFERROR(__xludf.DUMMYFUNCTION("IMPORTRANGE(""https://docs.google.com/spreadsheets/d/1eHaY18a8A9IcSdp1K8H6x8fbOy06t2VsZHhMHf-1x7Y/edit?usp=sharing"",""แผน!EW77"")"),490)</f>
        <v>490</v>
      </c>
      <c r="J368" s="368">
        <f ca="1">IFERROR(__xludf.DUMMYFUNCTION("IMPORTRANGE(""https://docs.google.com/spreadsheets/d/1tdoBKaGub7dwA3U6UFTqxio9LNnvDCQjHKmttSEBsFQ/edit?usp=sharing"",""จัดที่ดิน!AC77"")"),377.27)</f>
        <v>377.27</v>
      </c>
      <c r="K368" s="48">
        <f ca="1">IF(I368&gt;0,J368*100/I368,0)</f>
        <v>76.993877551020404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IFERROR(__xludf.DUMMYFUNCTION("IMPORTRANGE(""https://docs.google.com/spreadsheets/d/1eHaY18a8A9IcSdp1K8H6x8fbOy06t2VsZHhMHf-1x7Y/edit?usp=sharing"",""แผน!EX77"")"),88)</f>
        <v>88</v>
      </c>
      <c r="J369" s="170">
        <f ca="1">IFERROR(__xludf.DUMMYFUNCTION("IMPORTRANGE(""https://docs.google.com/spreadsheets/d/1tdoBKaGub7dwA3U6UFTqxio9LNnvDCQjHKmttSEBsFQ/edit?usp=sharing"",""จัดที่ดิน!AD77"")"),10)</f>
        <v>10</v>
      </c>
      <c r="K369" s="48">
        <f ca="1">IF(I369&gt;0,J369*100/I369,0)</f>
        <v>11.363636363636363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IFERROR(__xludf.DUMMYFUNCTION("IMPORTRANGE(""https://docs.google.com/spreadsheets/d/1tdoBKaGub7dwA3U6UFTqxio9LNnvDCQjHKmttSEBsFQ/edit?usp=sharing"",""จัดที่ดิน!AE77"")"),142.57)</f>
        <v>142.57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IFERROR(__xludf.DUMMYFUNCTION("IMPORTRANGE(""https://docs.google.com/spreadsheets/d/1eHaY18a8A9IcSdp1K8H6x8fbOy06t2VsZHhMHf-1x7Y/edit?usp=sharing"",""แผน!EY77"")"),63)</f>
        <v>63</v>
      </c>
      <c r="J371" s="170">
        <f ca="1">IFERROR(__xludf.DUMMYFUNCTION("IMPORTRANGE(""https://docs.google.com/spreadsheets/d/1tdoBKaGub7dwA3U6UFTqxio9LNnvDCQjHKmttSEBsFQ/edit?usp=sharing"",""จัดที่ดิน!AF77"")"),10)</f>
        <v>10</v>
      </c>
      <c r="K371" s="48">
        <f ca="1">IF(I371&gt;0,J371*100/I371,0)</f>
        <v>15.873015873015873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IFERROR(__xludf.DUMMYFUNCTION("IMPORTRANGE(""https://docs.google.com/spreadsheets/d/1tdoBKaGub7dwA3U6UFTqxio9LNnvDCQjHKmttSEBsFQ/edit?usp=sharing"",""จัดที่ดิน!AG77"")"),142.57)</f>
        <v>142.57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IFERROR(__xludf.DUMMYFUNCTION("IMPORTRANGE(""https://docs.google.com/spreadsheets/d/1-uDff_7J0KD5mKrp0Vvzr7lt3OU09vwQwhkpOPPYv2Y/edit?usp=sharing"",""งบพรบ!FM77"")"),0)</f>
        <v>0</v>
      </c>
      <c r="M382" s="51">
        <f ca="1">IFERROR(__xludf.DUMMYFUNCTION("IMPORTRANGE(""https://docs.google.com/spreadsheets/d/1-uDff_7J0KD5mKrp0Vvzr7lt3OU09vwQwhkpOPPYv2Y/edit?usp=sharing"",""งบพรบ!FR77"")"),0)</f>
        <v>0</v>
      </c>
      <c r="N382" s="51">
        <f ca="1">IFERROR(__xludf.DUMMYFUNCTION("IMPORTRANGE(""https://docs.google.com/spreadsheets/d/1-uDff_7J0KD5mKrp0Vvzr7lt3OU09vwQwhkpOPPYv2Y/edit?usp=sharing"",""งบพรบ!FT77"")"),0)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IFERROR(__xludf.DUMMYFUNCTION("IMPORTRANGE(""https://docs.google.com/spreadsheets/d/1-uDff_7J0KD5mKrp0Vvzr7lt3OU09vwQwhkpOPPYv2Y/edit?usp=sharing"",""งบพรบ!FP77"")"),0)</f>
        <v>0</v>
      </c>
      <c r="M385" s="51">
        <f ca="1">IFERROR(__xludf.DUMMYFUNCTION("IMPORTRANGE(""https://docs.google.com/spreadsheets/d/1-uDff_7J0KD5mKrp0Vvzr7lt3OU09vwQwhkpOPPYv2Y/edit?usp=sharing"",""งบพรบ!FS77"")"),0)</f>
        <v>0</v>
      </c>
      <c r="N385" s="51">
        <f ca="1">IFERROR(__xludf.DUMMYFUNCTION("IMPORTRANGE(""https://docs.google.com/spreadsheets/d/1-uDff_7J0KD5mKrp0Vvzr7lt3OU09vwQwhkpOPPYv2Y/edit?usp=sharing"",""งบพรบ!FU77"")"),0)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3" orientation="portrait" r:id="rId1"/>
  <headerFooter>
    <oddFooter>&amp;Cหน้า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85A89-D80E-40D7-AA5E-2F22DEDD050D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1" width="12.28515625" bestFit="1" customWidth="1"/>
    <col min="12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157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2231525</v>
      </c>
      <c r="M18" s="34">
        <f ca="1">M19+M20</f>
        <v>1907925</v>
      </c>
      <c r="N18" s="34">
        <f ca="1">N19+N20</f>
        <v>496637.6</v>
      </c>
      <c r="O18" s="34">
        <f ca="1">IF(L18&gt;0,N18*100/L18,0)</f>
        <v>22.255524809267204</v>
      </c>
      <c r="P18" s="34">
        <f ca="1">IF(M18&gt;0,N18*100/M18,0)</f>
        <v>26.030247520211748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2231525</v>
      </c>
      <c r="M20" s="40">
        <f ca="1">M23+M26</f>
        <v>1907925</v>
      </c>
      <c r="N20" s="40">
        <f ca="1">N23+N26</f>
        <v>496637.6</v>
      </c>
      <c r="O20" s="40">
        <f ca="1">IF(L20&gt;0,N20*100/L20,0)</f>
        <v>22.255524809267204</v>
      </c>
      <c r="P20" s="40">
        <f ca="1">IF(M20&gt;0,N20*100/M20,0)</f>
        <v>26.030247520211748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2231525</v>
      </c>
      <c r="M21" s="48">
        <f ca="1">M22+M23</f>
        <v>1907925</v>
      </c>
      <c r="N21" s="48">
        <f ca="1">N22+N23</f>
        <v>496637.6</v>
      </c>
      <c r="O21" s="48">
        <f ca="1">IF(L21&gt;0,N21*100/L21,0)</f>
        <v>22.255524809267204</v>
      </c>
      <c r="P21" s="48">
        <f ca="1">IF(M21&gt;0,N21*100/M21,0)</f>
        <v>26.030247520211748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2231525</v>
      </c>
      <c r="M23" s="48">
        <f ca="1">M49+M64+M77+M99+M130+M144+M162+M191+M178+M271+M287+M308+M325+M338+M361+M382</f>
        <v>1907925</v>
      </c>
      <c r="N23" s="48">
        <f ca="1">N49+N64+N77+N99+N130+N144+N162+N191+N178+N271+N287+N308+N325+N338+N361+N382</f>
        <v>496637.6</v>
      </c>
      <c r="O23" s="48">
        <f ca="1">IF(L23&gt;0,N23*100/L23,0)</f>
        <v>22.255524809267204</v>
      </c>
      <c r="P23" s="48">
        <f ca="1">IF(M23&gt;0,N23*100/M23,0)</f>
        <v>26.030247520211748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2231525</v>
      </c>
      <c r="M40" s="65">
        <f ca="1">M44+M59+M72+M94+M125+M139+M157+M173+M186+M266+M282+M303+M320+M333+M356</f>
        <v>1907925</v>
      </c>
      <c r="N40" s="65">
        <f ca="1">N44+N59+N72+N94+N125+N139+N157+N173+N186+N266+N282+N303+N320+N333+N356</f>
        <v>496637.6</v>
      </c>
      <c r="O40" s="65">
        <f ca="1">IF(L40&gt;0,N40*100/L40,0)</f>
        <v>22.255524809267204</v>
      </c>
      <c r="P40" s="65">
        <f ca="1">IF(M40&gt;0,N40*100/M40,0)</f>
        <v>26.030247520211748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413350</v>
      </c>
      <c r="M44" s="84">
        <f ca="1">M45+M46</f>
        <v>413350</v>
      </c>
      <c r="N44" s="84">
        <f ca="1">N45+N46</f>
        <v>180750</v>
      </c>
      <c r="O44" s="84">
        <f ca="1">IF(L44&gt;0,N44*100/L44,0)</f>
        <v>43.728075480827385</v>
      </c>
      <c r="P44" s="84">
        <f ca="1">IF(M44&gt;0,N44*100/M44,0)</f>
        <v>43.728075480827385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413350</v>
      </c>
      <c r="M46" s="90">
        <f ca="1">M49+M52</f>
        <v>413350</v>
      </c>
      <c r="N46" s="90">
        <f ca="1">N49+N52</f>
        <v>180750</v>
      </c>
      <c r="O46" s="90">
        <f ca="1">IF(L46&gt;0,N46*100/L46,0)</f>
        <v>43.728075480827385</v>
      </c>
      <c r="P46" s="90">
        <f ca="1">IF(M46&gt;0,N46*100/M46,0)</f>
        <v>43.728075480827385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413350</v>
      </c>
      <c r="M47" s="48">
        <f ca="1">M48+M49</f>
        <v>413350</v>
      </c>
      <c r="N47" s="48">
        <f ca="1">N48+N49</f>
        <v>180750</v>
      </c>
      <c r="O47" s="48">
        <f ca="1">IF(L47&gt;0,N47*100/L47,0)</f>
        <v>43.728075480827385</v>
      </c>
      <c r="P47" s="48">
        <f ca="1">IF(M47&gt;0,N47*100/M47,0)</f>
        <v>43.728075480827385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IFERROR(__xludf.DUMMYFUNCTION("IMPORTRANGE(""https://docs.google.com/spreadsheets/d/1-uDff_7J0KD5mKrp0Vvzr7lt3OU09vwQwhkpOPPYv2Y/edit?usp=sharing"",""งบพรบ!P78"")"),413350)</f>
        <v>413350</v>
      </c>
      <c r="M49" s="48">
        <f ca="1">IFERROR(__xludf.DUMMYFUNCTION("IMPORTRANGE(""https://docs.google.com/spreadsheets/d/1-uDff_7J0KD5mKrp0Vvzr7lt3OU09vwQwhkpOPPYv2Y/edit?usp=sharing"",""งบพรบ!V78"")"),413350)</f>
        <v>413350</v>
      </c>
      <c r="N49" s="48">
        <f ca="1">IFERROR(__xludf.DUMMYFUNCTION("IMPORTRANGE(""https://docs.google.com/spreadsheets/d/1-uDff_7J0KD5mKrp0Vvzr7lt3OU09vwQwhkpOPPYv2Y/edit?usp=sharing"",""งบพรบ!Y78"")"),180750)</f>
        <v>180750</v>
      </c>
      <c r="O49" s="48">
        <f ca="1">IF(L49&gt;0,N49*100/L49,0)</f>
        <v>43.728075480827385</v>
      </c>
      <c r="P49" s="48">
        <f ca="1">IF(M49&gt;0,N49*100/M49,0)</f>
        <v>43.728075480827385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IFERROR(__xludf.DUMMYFUNCTION("IMPORTRANGE(""https://docs.google.com/spreadsheets/d/1-uDff_7J0KD5mKrp0Vvzr7lt3OU09vwQwhkpOPPYv2Y/edit?usp=sharing"",""งบพรบ!S78"")"),0)</f>
        <v>0</v>
      </c>
      <c r="M52" s="48">
        <f ca="1">IFERROR(__xludf.DUMMYFUNCTION("IMPORTRANGE(""https://docs.google.com/spreadsheets/d/1-uDff_7J0KD5mKrp0Vvzr7lt3OU09vwQwhkpOPPYv2Y/edit?usp=sharing"",""งบพรบ!W78"")"),0)</f>
        <v>0</v>
      </c>
      <c r="N52" s="48">
        <f ca="1">IFERROR(__xludf.DUMMYFUNCTION("IMPORTRANGE(""https://docs.google.com/spreadsheets/d/1-uDff_7J0KD5mKrp0Vvzr7lt3OU09vwQwhkpOPPYv2Y/edit?usp=sharing"",""งบพรบ!Z78"")"),0)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509100</v>
      </c>
      <c r="M59" s="113">
        <f ca="1">M60+M61</f>
        <v>384050</v>
      </c>
      <c r="N59" s="113">
        <f ca="1">N60+N61</f>
        <v>148053.68</v>
      </c>
      <c r="O59" s="113">
        <f ca="1">IF(L59&gt;0,N59*100/L59,0)</f>
        <v>29.081453545472403</v>
      </c>
      <c r="P59" s="113">
        <f ca="1">IF(M59&gt;0,N59*100/M59,0)</f>
        <v>38.550626220544203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509100</v>
      </c>
      <c r="M61" s="119">
        <f ca="1">M64+M67</f>
        <v>384050</v>
      </c>
      <c r="N61" s="119">
        <f ca="1">N64+N67</f>
        <v>148053.68</v>
      </c>
      <c r="O61" s="119">
        <f ca="1">IF(L61&gt;0,N61*100/L61,0)</f>
        <v>29.081453545472403</v>
      </c>
      <c r="P61" s="119">
        <f ca="1">IF(M61&gt;0,N61*100/M61,0)</f>
        <v>38.550626220544203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509100</v>
      </c>
      <c r="M62" s="48">
        <f ca="1">M63+M64</f>
        <v>384050</v>
      </c>
      <c r="N62" s="48">
        <f ca="1">N63+N64</f>
        <v>148053.68</v>
      </c>
      <c r="O62" s="48">
        <f ca="1">IF(L62&gt;0,N62*100/L62,0)</f>
        <v>29.081453545472403</v>
      </c>
      <c r="P62" s="48">
        <f ca="1">IF(M62&gt;0,N62*100/M62,0)</f>
        <v>38.550626220544203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IFERROR(__xludf.DUMMYFUNCTION("IMPORTRANGE(""https://docs.google.com/spreadsheets/d/1-uDff_7J0KD5mKrp0Vvzr7lt3OU09vwQwhkpOPPYv2Y/edit?usp=sharing"",""งบพรบ!AC78"")"),509100)</f>
        <v>509100</v>
      </c>
      <c r="M64" s="48">
        <f ca="1">IFERROR(__xludf.DUMMYFUNCTION("IMPORTRANGE(""https://docs.google.com/spreadsheets/d/1-uDff_7J0KD5mKrp0Vvzr7lt3OU09vwQwhkpOPPYv2Y/edit?usp=sharing"",""งบพรบ!AH78"")"),384050)</f>
        <v>384050</v>
      </c>
      <c r="N64" s="48">
        <f ca="1">IFERROR(__xludf.DUMMYFUNCTION("IMPORTRANGE(""https://docs.google.com/spreadsheets/d/1-uDff_7J0KD5mKrp0Vvzr7lt3OU09vwQwhkpOPPYv2Y/edit?usp=sharing"",""งบพรบ!AJ78"")"),148053.68)</f>
        <v>148053.68</v>
      </c>
      <c r="O64" s="48">
        <f ca="1">IF(L64&gt;0,N64*100/L64,0)</f>
        <v>29.081453545472403</v>
      </c>
      <c r="P64" s="48">
        <f ca="1">IF(M64&gt;0,N64*100/M64,0)</f>
        <v>38.550626220544203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IFERROR(__xludf.DUMMYFUNCTION("IMPORTRANGE(""https://docs.google.com/spreadsheets/d/1-uDff_7J0KD5mKrp0Vvzr7lt3OU09vwQwhkpOPPYv2Y/edit?usp=sharing"",""งบพรบ!AF78"")"),0)</f>
        <v>0</v>
      </c>
      <c r="M67" s="59">
        <f ca="1">IFERROR(__xludf.DUMMYFUNCTION("IMPORTRANGE(""https://docs.google.com/spreadsheets/d/1-uDff_7J0KD5mKrp0Vvzr7lt3OU09vwQwhkpOPPYv2Y/edit?usp=sharing"",""งบพรบ!AI78"")"),0)</f>
        <v>0</v>
      </c>
      <c r="N67" s="59">
        <f ca="1">IFERROR(__xludf.DUMMYFUNCTION("IMPORTRANGE(""https://docs.google.com/spreadsheets/d/1-uDff_7J0KD5mKrp0Vvzr7lt3OU09vwQwhkpOPPYv2Y/edit?usp=sharing"",""งบพรบ!AK78"")"),0)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IFERROR(__xludf.DUMMYFUNCTION("IMPORTRANGE(""https://docs.google.com/spreadsheets/d/1-uDff_7J0KD5mKrp0Vvzr7lt3OU09vwQwhkpOPPYv2Y/edit?usp=sharing"",""งบพรบ!AM78"")"),0)</f>
        <v>0</v>
      </c>
      <c r="M77" s="48">
        <f ca="1">IFERROR(__xludf.DUMMYFUNCTION("IMPORTRANGE(""https://docs.google.com/spreadsheets/d/1-uDff_7J0KD5mKrp0Vvzr7lt3OU09vwQwhkpOPPYv2Y/edit?usp=sharing"",""งบพรบ!AR78"")"),0)</f>
        <v>0</v>
      </c>
      <c r="N77" s="48">
        <f ca="1">IFERROR(__xludf.DUMMYFUNCTION("IMPORTRANGE(""https://docs.google.com/spreadsheets/d/1-uDff_7J0KD5mKrp0Vvzr7lt3OU09vwQwhkpOPPYv2Y/edit?usp=sharing"",""งบพรบ!AT78"")"),0)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IFERROR(__xludf.DUMMYFUNCTION("IMPORTRANGE(""https://docs.google.com/spreadsheets/d/1-uDff_7J0KD5mKrp0Vvzr7lt3OU09vwQwhkpOPPYv2Y/edit?usp=sharing"",""งบพรบ!AP78"")"),0)</f>
        <v>0</v>
      </c>
      <c r="M80" s="48">
        <f ca="1">IFERROR(__xludf.DUMMYFUNCTION("IMPORTRANGE(""https://docs.google.com/spreadsheets/d/1-uDff_7J0KD5mKrp0Vvzr7lt3OU09vwQwhkpOPPYv2Y/edit?usp=sharing"",""งบพรบ!AS78"")"),0)</f>
        <v>0</v>
      </c>
      <c r="N80" s="48">
        <f ca="1">IFERROR(__xludf.DUMMYFUNCTION("IMPORTRANGE(""https://docs.google.com/spreadsheets/d/1-uDff_7J0KD5mKrp0Vvzr7lt3OU09vwQwhkpOPPYv2Y/edit?usp=sharing"",""งบพรบ!AU78"")"),0)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IFERROR(__xludf.DUMMYFUNCTION("IMPORTRANGE(""https://docs.google.com/spreadsheets/d/1eHaY18a8A9IcSdp1K8H6x8fbOy06t2VsZHhMHf-1x7Y/edit?usp=sharing"",""แผน!H78"")"),0)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IFERROR(__xludf.DUMMYFUNCTION("IMPORTRANGE(""https://docs.google.com/spreadsheets/d/1eHaY18a8A9IcSdp1K8H6x8fbOy06t2VsZHhMHf-1x7Y/edit?usp=sharing"",""แผน!I78"")"),0)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IFERROR(__xludf.DUMMYFUNCTION("IMPORTRANGE(""https://docs.google.com/spreadsheets/d/1eHaY18a8A9IcSdp1K8H6x8fbOy06t2VsZHhMHf-1x7Y/edit?usp=sharing"",""แผน!F78"")"),0)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IFERROR(__xludf.DUMMYFUNCTION("IMPORTRANGE(""https://docs.google.com/spreadsheets/d/1eHaY18a8A9IcSdp1K8H6x8fbOy06t2VsZHhMHf-1x7Y/edit?usp=sharing"",""แผน!G78"")"),0)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IFERROR(__xludf.DUMMYFUNCTION("IMPORTRANGE(""https://docs.google.com/spreadsheets/d/1eHaY18a8A9IcSdp1K8H6x8fbOy06t2VsZHhMHf-1x7Y/edit?usp=sharing"",""แผน!D78"")"),0)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IFERROR(__xludf.DUMMYFUNCTION("IMPORTRANGE(""https://docs.google.com/spreadsheets/d/1eHaY18a8A9IcSdp1K8H6x8fbOy06t2VsZHhMHf-1x7Y/edit?usp=sharing"",""แผน!E78"")"),0)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IFERROR(__xludf.DUMMYFUNCTION("IMPORTRANGE(""https://docs.google.com/spreadsheets/d/1eHaY18a8A9IcSdp1K8H6x8fbOy06t2VsZHhMHf-1x7Y/edit?usp=sharing"",""แผน!J78"")"),0)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IFERROR(__xludf.DUMMYFUNCTION("IMPORTRANGE(""https://docs.google.com/spreadsheets/d/1-uDff_7J0KD5mKrp0Vvzr7lt3OU09vwQwhkpOPPYv2Y/edit?usp=sharing"",""งบพรบ!AW78"")"),0)</f>
        <v>0</v>
      </c>
      <c r="M99" s="48">
        <f ca="1">IFERROR(__xludf.DUMMYFUNCTION("IMPORTRANGE(""https://docs.google.com/spreadsheets/d/1-uDff_7J0KD5mKrp0Vvzr7lt3OU09vwQwhkpOPPYv2Y/edit?usp=sharing"",""งบพรบ!BB78"")"),0)</f>
        <v>0</v>
      </c>
      <c r="N99" s="48">
        <f ca="1">IFERROR(__xludf.DUMMYFUNCTION("IMPORTRANGE(""https://docs.google.com/spreadsheets/d/1-uDff_7J0KD5mKrp0Vvzr7lt3OU09vwQwhkpOPPYv2Y/edit?usp=sharing"",""งบพรบ!BD78"")"),0)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IFERROR(__xludf.DUMMYFUNCTION("IMPORTRANGE(""https://docs.google.com/spreadsheets/d/1-uDff_7J0KD5mKrp0Vvzr7lt3OU09vwQwhkpOPPYv2Y/edit?usp=sharing"",""งบพรบ!AZ78"")"),0)</f>
        <v>0</v>
      </c>
      <c r="M102" s="48">
        <f ca="1">IFERROR(__xludf.DUMMYFUNCTION("IMPORTRANGE(""https://docs.google.com/spreadsheets/d/1-uDff_7J0KD5mKrp0Vvzr7lt3OU09vwQwhkpOPPYv2Y/edit?usp=sharing"",""งบพรบ!BC78"")"),0)</f>
        <v>0</v>
      </c>
      <c r="N102" s="48">
        <f ca="1">IFERROR(__xludf.DUMMYFUNCTION("IMPORTRANGE(""https://docs.google.com/spreadsheets/d/1-uDff_7J0KD5mKrp0Vvzr7lt3OU09vwQwhkpOPPYv2Y/edit?usp=sharing"",""งบพรบ!BE78"")"),0)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IFERROR(__xludf.DUMMYFUNCTION("IMPORTRANGE(""https://docs.google.com/spreadsheets/d/1eHaY18a8A9IcSdp1K8H6x8fbOy06t2VsZHhMHf-1x7Y/edit?usp=sharing"",""แผน!N78"")"),0)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IFERROR(__xludf.DUMMYFUNCTION("IMPORTRANGE(""https://docs.google.com/spreadsheets/d/1eHaY18a8A9IcSdp1K8H6x8fbOy06t2VsZHhMHf-1x7Y/edit?usp=sharing"",""แผน!O78"")"),0)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IFERROR(__xludf.DUMMYFUNCTION("IMPORTRANGE(""https://docs.google.com/spreadsheets/d/1eHaY18a8A9IcSdp1K8H6x8fbOy06t2VsZHhMHf-1x7Y/edit?usp=sharing"",""แผน!R78"")"),0)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IFERROR(__xludf.DUMMYFUNCTION("IMPORTRANGE(""https://docs.google.com/spreadsheets/d/1-uDff_7J0KD5mKrp0Vvzr7lt3OU09vwQwhkpOPPYv2Y/edit?usp=sharing"",""งบพรบ!BG78"")"),0)</f>
        <v>0</v>
      </c>
      <c r="M130" s="178">
        <f ca="1">IFERROR(__xludf.DUMMYFUNCTION("IMPORTRANGE(""https://docs.google.com/spreadsheets/d/1-uDff_7J0KD5mKrp0Vvzr7lt3OU09vwQwhkpOPPYv2Y/edit?usp=sharing"",""งบพรบ!BL78"")"),0)</f>
        <v>0</v>
      </c>
      <c r="N130" s="178">
        <f ca="1">IFERROR(__xludf.DUMMYFUNCTION("IMPORTRANGE(""https://docs.google.com/spreadsheets/d/1-uDff_7J0KD5mKrp0Vvzr7lt3OU09vwQwhkpOPPYv2Y/edit?usp=sharing"",""งบพรบ!BN78"")"),0)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IFERROR(__xludf.DUMMYFUNCTION("IMPORTRANGE(""https://docs.google.com/spreadsheets/d/1-uDff_7J0KD5mKrp0Vvzr7lt3OU09vwQwhkpOPPYv2Y/edit?usp=sharing"",""งบพรบ!BJ78"")"),0)</f>
        <v>0</v>
      </c>
      <c r="M133" s="178">
        <f ca="1">IFERROR(__xludf.DUMMYFUNCTION("IMPORTRANGE(""https://docs.google.com/spreadsheets/d/1-uDff_7J0KD5mKrp0Vvzr7lt3OU09vwQwhkpOPPYv2Y/edit?usp=sharing"",""งบพรบ!BM78"")"),0)</f>
        <v>0</v>
      </c>
      <c r="N133" s="178">
        <f ca="1">IFERROR(__xludf.DUMMYFUNCTION("IMPORTRANGE(""https://docs.google.com/spreadsheets/d/1-uDff_7J0KD5mKrp0Vvzr7lt3OU09vwQwhkpOPPYv2Y/edit?usp=sharing"",""งบพรบ!BO78"")"),0)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40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4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135400</v>
      </c>
      <c r="M139" s="141">
        <f ca="1">M140+M141</f>
        <v>105700</v>
      </c>
      <c r="N139" s="141">
        <f ca="1">N140+N141</f>
        <v>19130</v>
      </c>
      <c r="O139" s="141">
        <f ca="1">IF(L139&gt;0,N139*100/L139,0)</f>
        <v>14.128508124076809</v>
      </c>
      <c r="P139" s="141">
        <f ca="1">IF(M139&gt;0,N139*100/M139,0)</f>
        <v>18.098391674550616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135400</v>
      </c>
      <c r="M141" s="48">
        <f ca="1">M144+M147</f>
        <v>105700</v>
      </c>
      <c r="N141" s="48">
        <f ca="1">N144+N147</f>
        <v>19130</v>
      </c>
      <c r="O141" s="48">
        <f ca="1">IF(L141&gt;0,N141*100/L141,0)</f>
        <v>14.128508124076809</v>
      </c>
      <c r="P141" s="48">
        <f ca="1">IF(M141&gt;0,N141*100/M141,0)</f>
        <v>18.098391674550616</v>
      </c>
    </row>
    <row r="142" spans="1:16" ht="18.75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135400</v>
      </c>
      <c r="M142" s="48">
        <f ca="1">M143+M144</f>
        <v>105700</v>
      </c>
      <c r="N142" s="48">
        <f ca="1">N143+N144</f>
        <v>19130</v>
      </c>
      <c r="O142" s="48">
        <f ca="1">IF(L142&gt;0,N142*100/L142,0)</f>
        <v>14.128508124076809</v>
      </c>
      <c r="P142" s="48">
        <f ca="1">IF(M142&gt;0,N142*100/M142,0)</f>
        <v>18.098391674550616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IFERROR(__xludf.DUMMYFUNCTION("IMPORTRANGE(""https://docs.google.com/spreadsheets/d/1-uDff_7J0KD5mKrp0Vvzr7lt3OU09vwQwhkpOPPYv2Y/edit?usp=sharing"",""งบพรบ!BQ78"")"),135400)</f>
        <v>135400</v>
      </c>
      <c r="M144" s="48">
        <f ca="1">IFERROR(__xludf.DUMMYFUNCTION("IMPORTRANGE(""https://docs.google.com/spreadsheets/d/1-uDff_7J0KD5mKrp0Vvzr7lt3OU09vwQwhkpOPPYv2Y/edit?usp=sharing"",""งบพรบ!BV78"")"),105700)</f>
        <v>105700</v>
      </c>
      <c r="N144" s="48">
        <f ca="1">IFERROR(__xludf.DUMMYFUNCTION("IMPORTRANGE(""https://docs.google.com/spreadsheets/d/1-uDff_7J0KD5mKrp0Vvzr7lt3OU09vwQwhkpOPPYv2Y/edit?usp=sharing"",""งบพรบ!BX78"")"),19130)</f>
        <v>19130</v>
      </c>
      <c r="O144" s="48">
        <f ca="1">IF(L144&gt;0,N144*100/L144,0)</f>
        <v>14.128508124076809</v>
      </c>
      <c r="P144" s="48">
        <f ca="1">IF(M144&gt;0,N144*100/M144,0)</f>
        <v>18.098391674550616</v>
      </c>
    </row>
    <row r="145" spans="1:16" ht="18.75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IFERROR(__xludf.DUMMYFUNCTION("IMPORTRANGE(""https://docs.google.com/spreadsheets/d/1-uDff_7J0KD5mKrp0Vvzr7lt3OU09vwQwhkpOPPYv2Y/edit?usp=sharing"",""งบพรบ!BT78"")"),0)</f>
        <v>0</v>
      </c>
      <c r="M147" s="48">
        <f ca="1">IFERROR(__xludf.DUMMYFUNCTION("IMPORTRANGE(""https://docs.google.com/spreadsheets/d/1-uDff_7J0KD5mKrp0Vvzr7lt3OU09vwQwhkpOPPYv2Y/edit?usp=sharing"",""งบพรบ!BW78"")"),0)</f>
        <v>0</v>
      </c>
      <c r="N147" s="48">
        <f ca="1">IFERROR(__xludf.DUMMYFUNCTION("IMPORTRANGE(""https://docs.google.com/spreadsheets/d/1-uDff_7J0KD5mKrp0Vvzr7lt3OU09vwQwhkpOPPYv2Y/edit?usp=sharing"",""งบพรบ!BY78"")"),0)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IFERROR(__xludf.DUMMYFUNCTION("IMPORTRANGE(""https://docs.google.com/spreadsheets/d/1eHaY18a8A9IcSdp1K8H6x8fbOy06t2VsZHhMHf-1x7Y/edit?usp=sharing"",""แผน!U78"")"),0)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IFERROR(__xludf.DUMMYFUNCTION("IMPORTRANGE(""https://docs.google.com/spreadsheets/d/1eHaY18a8A9IcSdp1K8H6x8fbOy06t2VsZHhMHf-1x7Y/edit?usp=sharing"",""แผน!V78"")"),0)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IFERROR(__xludf.DUMMYFUNCTION("IMPORTRANGE(""https://docs.google.com/spreadsheets/d/1eHaY18a8A9IcSdp1K8H6x8fbOy06t2VsZHhMHf-1x7Y/edit?usp=sharing"",""แผน!W78"")"),40)</f>
        <v>40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IFERROR(__xludf.DUMMYFUNCTION("IMPORTRANGE(""https://docs.google.com/spreadsheets/d/1eHaY18a8A9IcSdp1K8H6x8fbOy06t2VsZHhMHf-1x7Y/edit?usp=sharing"",""แผน!X78"")"),4)</f>
        <v>4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IFERROR(__xludf.DUMMYFUNCTION("IMPORTRANGE(""https://docs.google.com/spreadsheets/d/1eHaY18a8A9IcSdp1K8H6x8fbOy06t2VsZHhMHf-1x7Y/edit?usp=sharing"",""แผน!Y78"")"),0)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IFERROR(__xludf.DUMMYFUNCTION("IMPORTRANGE(""https://docs.google.com/spreadsheets/d/1-uDff_7J0KD5mKrp0Vvzr7lt3OU09vwQwhkpOPPYv2Y/edit?usp=sharing"",""งบพรบ!CA78"")"),0)</f>
        <v>0</v>
      </c>
      <c r="M162" s="48">
        <f ca="1">IFERROR(__xludf.DUMMYFUNCTION("IMPORTRANGE(""https://docs.google.com/spreadsheets/d/1-uDff_7J0KD5mKrp0Vvzr7lt3OU09vwQwhkpOPPYv2Y/edit?usp=sharing"",""งบพรบ!CF78"")"),0)</f>
        <v>0</v>
      </c>
      <c r="N162" s="48">
        <f ca="1">IFERROR(__xludf.DUMMYFUNCTION("IMPORTRANGE(""https://docs.google.com/spreadsheets/d/1-uDff_7J0KD5mKrp0Vvzr7lt3OU09vwQwhkpOPPYv2Y/edit?usp=sharing"",""งบพรบ!CH78"")"),0)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IFERROR(__xludf.DUMMYFUNCTION("IMPORTRANGE(""https://docs.google.com/spreadsheets/d/1-uDff_7J0KD5mKrp0Vvzr7lt3OU09vwQwhkpOPPYv2Y/edit?usp=sharing"",""งบพรบ!CD78"")"),0)</f>
        <v>0</v>
      </c>
      <c r="M165" s="48">
        <f ca="1">IFERROR(__xludf.DUMMYFUNCTION("IMPORTRANGE(""https://docs.google.com/spreadsheets/d/1-uDff_7J0KD5mKrp0Vvzr7lt3OU09vwQwhkpOPPYv2Y/edit?usp=sharing"",""งบพรบ!CG78"")"),0)</f>
        <v>0</v>
      </c>
      <c r="N165" s="48">
        <f ca="1">IFERROR(__xludf.DUMMYFUNCTION("IMPORTRANGE(""https://docs.google.com/spreadsheets/d/1-uDff_7J0KD5mKrp0Vvzr7lt3OU09vwQwhkpOPPYv2Y/edit?usp=sharing"",""งบพรบ!CI78"")"),0)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IFERROR(__xludf.DUMMYFUNCTION("IMPORTRANGE(""https://docs.google.com/spreadsheets/d/1eHaY18a8A9IcSdp1K8H6x8fbOy06t2VsZHhMHf-1x7Y/edit?usp=sharing"",""แผน!Z78"")"),0)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IFERROR(__xludf.DUMMYFUNCTION("IMPORTRANGE(""https://docs.google.com/spreadsheets/d/1eHaY18a8A9IcSdp1K8H6x8fbOy06t2VsZHhMHf-1x7Y/edit?usp=sharing"",""แผน!Z78"")"),0)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IFERROR(__xludf.DUMMYFUNCTION("IMPORTRANGE(""https://docs.google.com/spreadsheets/d/1eHaY18a8A9IcSdp1K8H6x8fbOy06t2VsZHhMHf-1x7Y/edit?usp=sharing"",""แผน!Z78"")"),0)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17100</v>
      </c>
      <c r="O173" s="141">
        <f ca="1">IF(L173&gt;0,N173*100/L173,0)</f>
        <v>87.289433384379791</v>
      </c>
      <c r="P173" s="141">
        <f ca="1">IF(M173&gt;0,N173*100/M173,0)</f>
        <v>87.289433384379791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17100</v>
      </c>
      <c r="O175" s="48">
        <f ca="1">IF(L175&gt;0,N175*100/L175,0)</f>
        <v>87.289433384379791</v>
      </c>
      <c r="P175" s="48">
        <f ca="1">IF(M175&gt;0,N175*100/M175,0)</f>
        <v>87.289433384379791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17100</v>
      </c>
      <c r="O176" s="48">
        <f ca="1">IF(L176&gt;0,N176*100/L176,0)</f>
        <v>87.289433384379791</v>
      </c>
      <c r="P176" s="48">
        <f ca="1">IF(M176&gt;0,N176*100/M176,0)</f>
        <v>87.289433384379791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IFERROR(__xludf.DUMMYFUNCTION("IMPORTRANGE(""https://docs.google.com/spreadsheets/d/1-uDff_7J0KD5mKrp0Vvzr7lt3OU09vwQwhkpOPPYv2Y/edit?usp=sharing"",""งบพรบ!CK78"")"),19590)</f>
        <v>19590</v>
      </c>
      <c r="M178" s="48">
        <f ca="1">IFERROR(__xludf.DUMMYFUNCTION("IMPORTRANGE(""https://docs.google.com/spreadsheets/d/1-uDff_7J0KD5mKrp0Vvzr7lt3OU09vwQwhkpOPPYv2Y/edit?usp=sharing"",""งบพรบ!CP78"")"),19590)</f>
        <v>19590</v>
      </c>
      <c r="N178" s="48">
        <f ca="1">IFERROR(__xludf.DUMMYFUNCTION("IMPORTRANGE(""https://docs.google.com/spreadsheets/d/1-uDff_7J0KD5mKrp0Vvzr7lt3OU09vwQwhkpOPPYv2Y/edit?usp=sharing"",""งบพรบ!CR78"")"),17100)</f>
        <v>17100</v>
      </c>
      <c r="O178" s="48">
        <f ca="1">IF(L178&gt;0,N178*100/L178,0)</f>
        <v>87.289433384379791</v>
      </c>
      <c r="P178" s="48">
        <f ca="1">IF(M178&gt;0,N178*100/M178,0)</f>
        <v>87.289433384379791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IFERROR(__xludf.DUMMYFUNCTION("IMPORTRANGE(""https://docs.google.com/spreadsheets/d/1-uDff_7J0KD5mKrp0Vvzr7lt3OU09vwQwhkpOPPYv2Y/edit?usp=sharing"",""งบพรบ!CN78"")"),0)</f>
        <v>0</v>
      </c>
      <c r="M181" s="48">
        <f ca="1">IFERROR(__xludf.DUMMYFUNCTION("IMPORTRANGE(""https://docs.google.com/spreadsheets/d/1-uDff_7J0KD5mKrp0Vvzr7lt3OU09vwQwhkpOPPYv2Y/edit?usp=sharing"",""งบพรบ!CQ78"")"),0)</f>
        <v>0</v>
      </c>
      <c r="N181" s="48">
        <f ca="1">IFERROR(__xludf.DUMMYFUNCTION("IMPORTRANGE(""https://docs.google.com/spreadsheets/d/1-uDff_7J0KD5mKrp0Vvzr7lt3OU09vwQwhkpOPPYv2Y/edit?usp=sharing"",""งบพรบ!CS78"")"),0)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IFERROR(__xludf.DUMMYFUNCTION("IMPORTRANGE(""https://docs.google.com/spreadsheets/d/1eHaY18a8A9IcSdp1K8H6x8fbOy06t2VsZHhMHf-1x7Y/edit?usp=sharing"",""แผน!AA78"")"),7)</f>
        <v>7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40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283100</v>
      </c>
      <c r="M186" s="141">
        <f ca="1">M187+M188</f>
        <v>224100</v>
      </c>
      <c r="N186" s="141">
        <f ca="1">N187+N188</f>
        <v>15920</v>
      </c>
      <c r="O186" s="141">
        <f ca="1">IF(L186&gt;0,N186*100/L186,0)</f>
        <v>5.6234546096785589</v>
      </c>
      <c r="P186" s="141">
        <f ca="1">IF(M186&gt;0,N186*100/M186,0)</f>
        <v>7.103971441320839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283100</v>
      </c>
      <c r="M188" s="48">
        <f ca="1">M191+M194</f>
        <v>224100</v>
      </c>
      <c r="N188" s="48">
        <f ca="1">N191+N194</f>
        <v>15920</v>
      </c>
      <c r="O188" s="48">
        <f ca="1">IF(L188&gt;0,N188*100/L188,0)</f>
        <v>5.6234546096785589</v>
      </c>
      <c r="P188" s="48">
        <f ca="1">IF(M188&gt;0,N188*100/M188,0)</f>
        <v>7.103971441320839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283100</v>
      </c>
      <c r="M189" s="48">
        <f ca="1">M190+M191</f>
        <v>224100</v>
      </c>
      <c r="N189" s="48">
        <f ca="1">N190+N191</f>
        <v>15920</v>
      </c>
      <c r="O189" s="48">
        <f ca="1">IF(L189&gt;0,N189*100/L189,0)</f>
        <v>5.6234546096785589</v>
      </c>
      <c r="P189" s="48">
        <f ca="1">IF(M189&gt;0,N189*100/M189,0)</f>
        <v>7.103971441320839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IFERROR(__xludf.DUMMYFUNCTION("IMPORTRANGE(""https://docs.google.com/spreadsheets/d/1-uDff_7J0KD5mKrp0Vvzr7lt3OU09vwQwhkpOPPYv2Y/edit?usp=sharing"",""งบพรบ!CU78"")"),283100)</f>
        <v>283100</v>
      </c>
      <c r="M191" s="48">
        <f ca="1">IFERROR(__xludf.DUMMYFUNCTION("IMPORTRANGE(""https://docs.google.com/spreadsheets/d/1-uDff_7J0KD5mKrp0Vvzr7lt3OU09vwQwhkpOPPYv2Y/edit?usp=sharing"",""งบพรบ!CZ78"")"),224100)</f>
        <v>224100</v>
      </c>
      <c r="N191" s="48">
        <f ca="1">IFERROR(__xludf.DUMMYFUNCTION("IMPORTRANGE(""https://docs.google.com/spreadsheets/d/1-uDff_7J0KD5mKrp0Vvzr7lt3OU09vwQwhkpOPPYv2Y/edit?usp=sharing"",""งบพรบ!DB78"")"),15920)</f>
        <v>15920</v>
      </c>
      <c r="O191" s="48">
        <f ca="1">IF(L191&gt;0,N191*100/L191,0)</f>
        <v>5.6234546096785589</v>
      </c>
      <c r="P191" s="48">
        <f ca="1">IF(M191&gt;0,N191*100/M191,0)</f>
        <v>7.103971441320839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IFERROR(__xludf.DUMMYFUNCTION("IMPORTRANGE(""https://docs.google.com/spreadsheets/d/1-uDff_7J0KD5mKrp0Vvzr7lt3OU09vwQwhkpOPPYv2Y/edit?usp=sharing"",""งบพรบ!CX78"")"),0)</f>
        <v>0</v>
      </c>
      <c r="M194" s="48">
        <f ca="1">IFERROR(__xludf.DUMMYFUNCTION("IMPORTRANGE(""https://docs.google.com/spreadsheets/d/1-uDff_7J0KD5mKrp0Vvzr7lt3OU09vwQwhkpOPPYv2Y/edit?usp=sharing"",""งบพรบ!DA78"")"),0)</f>
        <v>0</v>
      </c>
      <c r="N194" s="48">
        <f ca="1">IFERROR(__xludf.DUMMYFUNCTION("IMPORTRANGE(""https://docs.google.com/spreadsheets/d/1-uDff_7J0KD5mKrp0Vvzr7lt3OU09vwQwhkpOPPYv2Y/edit?usp=sharing"",""งบพรบ!DC78"")"),0)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IFERROR(__xludf.DUMMYFUNCTION("IMPORTRANGE(""https://docs.google.com/spreadsheets/d/1eHaY18a8A9IcSdp1K8H6x8fbOy06t2VsZHhMHf-1x7Y/edit?usp=sharing"",""แผน!AB78"")"),6000)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IFERROR(__xludf.DUMMYFUNCTION("IMPORTRANGE(""https://docs.google.com/spreadsheets/d/1eHaY18a8A9IcSdp1K8H6x8fbOy06t2VsZHhMHf-1x7Y/edit?usp=sharing"",""แผน!AE78"")"),4)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2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31000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IFERROR(__xludf.DUMMYFUNCTION("IMPORTRANGE(""https://docs.google.com/spreadsheets/d/1eHaY18a8A9IcSdp1K8H6x8fbOy06t2VsZHhMHf-1x7Y/edit?usp=sharing"",""แผน!AG78"")"),2000)</f>
        <v>2000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IFERROR(__xludf.DUMMYFUNCTION("IMPORTRANGE(""https://docs.google.com/spreadsheets/d/1eHaY18a8A9IcSdp1K8H6x8fbOy06t2VsZHhMHf-1x7Y/edit?usp=sharing"",""แผน!AH78"")"),0)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IFERROR(__xludf.DUMMYFUNCTION("IMPORTRANGE(""https://docs.google.com/spreadsheets/d/1eHaY18a8A9IcSdp1K8H6x8fbOy06t2VsZHhMHf-1x7Y/edit?usp=sharing"",""แผน!AI78"")"),16000)</f>
        <v>16000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IFERROR(__xludf.DUMMYFUNCTION("IMPORTRANGE(""https://docs.google.com/spreadsheets/d/1eHaY18a8A9IcSdp1K8H6x8fbOy06t2VsZHhMHf-1x7Y/edit?usp=sharing"",""แผน!AJ78"")"),13000)</f>
        <v>13000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IFERROR(__xludf.DUMMYFUNCTION("IMPORTRANGE(""https://docs.google.com/spreadsheets/d/1eHaY18a8A9IcSdp1K8H6x8fbOy06t2VsZHhMHf-1x7Y/edit?usp=sharing"",""แผน!AK78"")"),2)</f>
        <v>2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IFERROR(__xludf.DUMMYFUNCTION("IMPORTRANGE(""https://docs.google.com/spreadsheets/d/1eHaY18a8A9IcSdp1K8H6x8fbOy06t2VsZHhMHf-1x7Y/edit?usp=sharing"",""แผน!AK78"")"),2)</f>
        <v>2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IFERROR(__xludf.DUMMYFUNCTION("IMPORTRANGE(""https://docs.google.com/spreadsheets/d/1eHaY18a8A9IcSdp1K8H6x8fbOy06t2VsZHhMHf-1x7Y/edit?usp=sharing"",""แผน!AK78"")"),2)</f>
        <v>2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2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28000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IFERROR(__xludf.DUMMYFUNCTION("IMPORTRANGE(""https://docs.google.com/spreadsheets/d/1eHaY18a8A9IcSdp1K8H6x8fbOy06t2VsZHhMHf-1x7Y/edit?usp=sharing"",""แผน!AM78"")"),2000)</f>
        <v>2000</v>
      </c>
      <c r="M215" s="47"/>
      <c r="N215" s="249">
        <v>0</v>
      </c>
      <c r="O215" s="146"/>
      <c r="P215" s="47"/>
    </row>
    <row r="216" spans="1:16" ht="18.75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IFERROR(__xludf.DUMMYFUNCTION("IMPORTRANGE(""https://docs.google.com/spreadsheets/d/1eHaY18a8A9IcSdp1K8H6x8fbOy06t2VsZHhMHf-1x7Y/edit?usp=sharing"",""แผน!AN78"")"),10000)</f>
        <v>10000</v>
      </c>
      <c r="M216" s="47"/>
      <c r="N216" s="249">
        <v>0</v>
      </c>
      <c r="O216" s="146"/>
      <c r="P216" s="47"/>
    </row>
    <row r="217" spans="1:16" ht="18.75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IFERROR(__xludf.DUMMYFUNCTION("IMPORTRANGE(""https://docs.google.com/spreadsheets/d/1eHaY18a8A9IcSdp1K8H6x8fbOy06t2VsZHhMHf-1x7Y/edit?usp=sharing"",""แผน!AO78"")"),16000)</f>
        <v>16000</v>
      </c>
      <c r="M217" s="47"/>
      <c r="N217" s="249">
        <v>0</v>
      </c>
      <c r="O217" s="146"/>
      <c r="P217" s="47"/>
    </row>
    <row r="218" spans="1:16" ht="19.5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IFERROR(__xludf.DUMMYFUNCTION("IMPORTRANGE(""https://docs.google.com/spreadsheets/d/1eHaY18a8A9IcSdp1K8H6x8fbOy06t2VsZHhMHf-1x7Y/edit?usp=sharing"",""แผน!AP78"")"),2)</f>
        <v>2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IFERROR(__xludf.DUMMYFUNCTION("IMPORTRANGE(""https://docs.google.com/spreadsheets/d/1eHaY18a8A9IcSdp1K8H6x8fbOy06t2VsZHhMHf-1x7Y/edit?usp=sharing"",""แผน!AP78"")"),2)</f>
        <v>2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50000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8500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IFERROR(__xludf.DUMMYFUNCTION("IMPORTRANGE(""https://docs.google.com/spreadsheets/d/1eHaY18a8A9IcSdp1K8H6x8fbOy06t2VsZHhMHf-1x7Y/edit?usp=sharing"",""แผน!AR78"")"),7000)</f>
        <v>7000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IFERROR(__xludf.DUMMYFUNCTION("IMPORTRANGE(""https://docs.google.com/spreadsheets/d/1eHaY18a8A9IcSdp1K8H6x8fbOy06t2VsZHhMHf-1x7Y/edit?usp=sharing"",""แผน!AS78"")"),1500)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IFERROR(__xludf.DUMMYFUNCTION("IMPORTRANGE(""https://docs.google.com/spreadsheets/d/1eHaY18a8A9IcSdp1K8H6x8fbOy06t2VsZHhMHf-1x7Y/edit?usp=sharing"",""แผน!AT78"")"),0)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IFERROR(__xludf.DUMMYFUNCTION("IMPORTRANGE(""https://docs.google.com/spreadsheets/d/1eHaY18a8A9IcSdp1K8H6x8fbOy06t2VsZHhMHf-1x7Y/edit?usp=sharing"",""แผน!AV78"")"),50000)</f>
        <v>50000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IFERROR(__xludf.DUMMYFUNCTION("IMPORTRANGE(""https://docs.google.com/spreadsheets/d/1eHaY18a8A9IcSdp1K8H6x8fbOy06t2VsZHhMHf-1x7Y/edit?usp=sharing"",""แผน!AV78"")"),50000)</f>
        <v>50000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IFERROR(__xludf.DUMMYFUNCTION("IMPORTRANGE(""https://docs.google.com/spreadsheets/d/1eHaY18a8A9IcSdp1K8H6x8fbOy06t2VsZHhMHf-1x7Y/edit?usp=sharing"",""แผน!AU78"")"),0)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40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209600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521" t="s">
        <v>80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101000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32" t="s">
        <v>81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5000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32" t="s">
        <v>82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45600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83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58000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40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x14ac:dyDescent="0.3">
      <c r="A242" s="520"/>
      <c r="B242" s="519"/>
      <c r="C242" s="518" t="s">
        <v>156</v>
      </c>
      <c r="D242" s="517"/>
      <c r="E242" s="517"/>
      <c r="F242" s="517"/>
      <c r="G242" s="516"/>
      <c r="H242" s="515" t="s">
        <v>33</v>
      </c>
      <c r="I242" s="514">
        <f ca="1">I249</f>
        <v>40</v>
      </c>
      <c r="J242" s="514">
        <f>J249</f>
        <v>0</v>
      </c>
      <c r="K242" s="513">
        <f ca="1">IF(I242&gt;0,J242*100/I242,0)</f>
        <v>0</v>
      </c>
      <c r="L242" s="512"/>
      <c r="M242" s="512"/>
      <c r="N242" s="512"/>
      <c r="O242" s="512"/>
      <c r="P242" s="512"/>
    </row>
    <row r="243" spans="1:16" ht="19.5" x14ac:dyDescent="0.3">
      <c r="A243" s="391"/>
      <c r="B243" s="392"/>
      <c r="C243" s="393" t="s">
        <v>16</v>
      </c>
      <c r="D243" s="394" t="s">
        <v>17</v>
      </c>
      <c r="E243" s="392"/>
      <c r="F243" s="392"/>
      <c r="G243" s="395"/>
      <c r="H243" s="511" t="s">
        <v>12</v>
      </c>
      <c r="I243" s="405"/>
      <c r="J243" s="405"/>
      <c r="K243" s="406"/>
      <c r="L243" s="399">
        <f ca="1">L244+L245+L246+L247</f>
        <v>209600</v>
      </c>
      <c r="M243" s="398"/>
      <c r="N243" s="399">
        <f>N244+N245+N246+N247</f>
        <v>0</v>
      </c>
      <c r="O243" s="399">
        <f ca="1">IF(L243&gt;0,N243*100/L243,0)</f>
        <v>0</v>
      </c>
      <c r="P243" s="399">
        <f>IF(M243&gt;0,N243*100/M243,0)</f>
        <v>0</v>
      </c>
    </row>
    <row r="244" spans="1:16" ht="18.75" x14ac:dyDescent="0.25">
      <c r="A244" s="391"/>
      <c r="B244" s="415"/>
      <c r="C244" s="392"/>
      <c r="D244" s="503" t="s">
        <v>80</v>
      </c>
      <c r="E244" s="392"/>
      <c r="F244" s="392"/>
      <c r="G244" s="395"/>
      <c r="H244" s="404" t="s">
        <v>12</v>
      </c>
      <c r="I244" s="405"/>
      <c r="J244" s="405"/>
      <c r="K244" s="406"/>
      <c r="L244" s="402">
        <f ca="1">IFERROR(__xludf.DUMMYFUNCTION("IMPORTRANGE(""https://docs.google.com/spreadsheets/d/1eHaY18a8A9IcSdp1K8H6x8fbOy06t2VsZHhMHf-1x7Y/edit?usp=sharing"",""แผน!AX78"")"),101000)</f>
        <v>101000</v>
      </c>
      <c r="M244" s="398"/>
      <c r="N244" s="510">
        <v>0</v>
      </c>
      <c r="O244" s="398"/>
      <c r="P244" s="398"/>
    </row>
    <row r="245" spans="1:16" ht="18.75" x14ac:dyDescent="0.25">
      <c r="A245" s="414"/>
      <c r="B245" s="415"/>
      <c r="C245" s="415"/>
      <c r="D245" s="230" t="s">
        <v>81</v>
      </c>
      <c r="E245" s="392"/>
      <c r="F245" s="392"/>
      <c r="G245" s="395"/>
      <c r="H245" s="404" t="s">
        <v>12</v>
      </c>
      <c r="I245" s="397"/>
      <c r="J245" s="397"/>
      <c r="K245" s="398"/>
      <c r="L245" s="402">
        <f ca="1">IFERROR(__xludf.DUMMYFUNCTION("IMPORTRANGE(""https://docs.google.com/spreadsheets/d/1eHaY18a8A9IcSdp1K8H6x8fbOy06t2VsZHhMHf-1x7Y/edit?usp=sharing"",""แผน!AY78"")"),5000)</f>
        <v>5000</v>
      </c>
      <c r="M245" s="398"/>
      <c r="N245" s="510">
        <v>0</v>
      </c>
      <c r="O245" s="398"/>
      <c r="P245" s="398"/>
    </row>
    <row r="246" spans="1:16" ht="18.75" x14ac:dyDescent="0.25">
      <c r="A246" s="414"/>
      <c r="B246" s="415"/>
      <c r="C246" s="415"/>
      <c r="D246" s="230" t="s">
        <v>82</v>
      </c>
      <c r="E246" s="392"/>
      <c r="F246" s="392"/>
      <c r="G246" s="395"/>
      <c r="H246" s="404" t="s">
        <v>12</v>
      </c>
      <c r="I246" s="397"/>
      <c r="J246" s="397"/>
      <c r="K246" s="398"/>
      <c r="L246" s="402">
        <f ca="1">IFERROR(__xludf.DUMMYFUNCTION("IMPORTRANGE(""https://docs.google.com/spreadsheets/d/1eHaY18a8A9IcSdp1K8H6x8fbOy06t2VsZHhMHf-1x7Y/edit?usp=sharing"",""แผน!AZ78"")"),45600)</f>
        <v>45600</v>
      </c>
      <c r="M246" s="398"/>
      <c r="N246" s="510">
        <v>0</v>
      </c>
      <c r="O246" s="398"/>
      <c r="P246" s="398"/>
    </row>
    <row r="247" spans="1:16" ht="18.75" x14ac:dyDescent="0.25">
      <c r="A247" s="414"/>
      <c r="B247" s="415"/>
      <c r="C247" s="415"/>
      <c r="D247" s="52" t="s">
        <v>83</v>
      </c>
      <c r="E247" s="392"/>
      <c r="F247" s="392"/>
      <c r="G247" s="395"/>
      <c r="H247" s="404" t="s">
        <v>12</v>
      </c>
      <c r="I247" s="397"/>
      <c r="J247" s="397"/>
      <c r="K247" s="398"/>
      <c r="L247" s="402">
        <f ca="1">IFERROR(__xludf.DUMMYFUNCTION("IMPORTRANGE(""https://docs.google.com/spreadsheets/d/1eHaY18a8A9IcSdp1K8H6x8fbOy06t2VsZHhMHf-1x7Y/edit?usp=sharing"",""แผน!BA78"")"),58000)</f>
        <v>58000</v>
      </c>
      <c r="M247" s="398"/>
      <c r="N247" s="510">
        <v>0</v>
      </c>
      <c r="O247" s="398"/>
      <c r="P247" s="398"/>
    </row>
    <row r="248" spans="1:16" ht="19.5" x14ac:dyDescent="0.3">
      <c r="A248" s="408"/>
      <c r="B248" s="409"/>
      <c r="C248" s="509" t="s">
        <v>16</v>
      </c>
      <c r="D248" s="508" t="s">
        <v>36</v>
      </c>
      <c r="E248" s="411"/>
      <c r="F248" s="411"/>
      <c r="G248" s="412"/>
      <c r="H248" s="413"/>
      <c r="I248" s="405"/>
      <c r="J248" s="397"/>
      <c r="K248" s="398"/>
      <c r="L248" s="398"/>
      <c r="M248" s="398"/>
      <c r="N248" s="398"/>
      <c r="O248" s="406"/>
      <c r="P248" s="406"/>
    </row>
    <row r="249" spans="1:16" ht="18.75" x14ac:dyDescent="0.25">
      <c r="A249" s="408"/>
      <c r="B249" s="409"/>
      <c r="C249" s="409"/>
      <c r="D249" s="416" t="s">
        <v>104</v>
      </c>
      <c r="E249" s="505"/>
      <c r="F249" s="505"/>
      <c r="G249" s="413"/>
      <c r="H249" s="504" t="s">
        <v>33</v>
      </c>
      <c r="I249" s="418">
        <f ca="1">IFERROR(__xludf.DUMMYFUNCTION("IMPORTRANGE(""https://docs.google.com/spreadsheets/d/1eHaY18a8A9IcSdp1K8H6x8fbOy06t2VsZHhMHf-1x7Y/edit?usp=sharing"",""แผน!BG78"")"),40)</f>
        <v>40</v>
      </c>
      <c r="J249" s="419">
        <v>0</v>
      </c>
      <c r="K249" s="402">
        <f ca="1">IF(I249&gt;0,J249*100/I249,0)</f>
        <v>0</v>
      </c>
      <c r="L249" s="398"/>
      <c r="M249" s="398"/>
      <c r="N249" s="398"/>
      <c r="O249" s="398"/>
      <c r="P249" s="398"/>
    </row>
    <row r="250" spans="1:16" ht="18.75" x14ac:dyDescent="0.25">
      <c r="A250" s="408"/>
      <c r="B250" s="409"/>
      <c r="C250" s="409"/>
      <c r="D250" s="507" t="s">
        <v>41</v>
      </c>
      <c r="E250" s="505"/>
      <c r="F250" s="505"/>
      <c r="G250" s="413"/>
      <c r="H250" s="413"/>
      <c r="I250" s="397"/>
      <c r="J250" s="397"/>
      <c r="K250" s="398"/>
      <c r="L250" s="398"/>
      <c r="M250" s="398"/>
      <c r="N250" s="398"/>
      <c r="O250" s="406"/>
      <c r="P250" s="406"/>
    </row>
    <row r="251" spans="1:16" ht="18.75" x14ac:dyDescent="0.25">
      <c r="A251" s="408"/>
      <c r="B251" s="409"/>
      <c r="C251" s="409"/>
      <c r="D251" s="409"/>
      <c r="E251" s="506" t="s">
        <v>105</v>
      </c>
      <c r="F251" s="505"/>
      <c r="G251" s="413"/>
      <c r="H251" s="504" t="s">
        <v>33</v>
      </c>
      <c r="I251" s="418">
        <v>0</v>
      </c>
      <c r="J251" s="419">
        <v>0</v>
      </c>
      <c r="K251" s="402">
        <f>IF(I251&gt;0,J251*100/I251,0)</f>
        <v>0</v>
      </c>
      <c r="L251" s="398"/>
      <c r="M251" s="398"/>
      <c r="N251" s="398"/>
      <c r="O251" s="398"/>
      <c r="P251" s="398"/>
    </row>
    <row r="252" spans="1:16" ht="18.75" x14ac:dyDescent="0.25">
      <c r="A252" s="408"/>
      <c r="B252" s="409"/>
      <c r="C252" s="409"/>
      <c r="D252" s="409"/>
      <c r="E252" s="506" t="s">
        <v>106</v>
      </c>
      <c r="F252" s="505"/>
      <c r="G252" s="413"/>
      <c r="H252" s="504" t="s">
        <v>54</v>
      </c>
      <c r="I252" s="418">
        <v>0</v>
      </c>
      <c r="J252" s="419">
        <v>0</v>
      </c>
      <c r="K252" s="402">
        <f>IF(I252&gt;0,J252*100/I252,0)</f>
        <v>0</v>
      </c>
      <c r="L252" s="398"/>
      <c r="M252" s="398"/>
      <c r="N252" s="398"/>
      <c r="O252" s="398"/>
      <c r="P252" s="398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503" t="s">
        <v>80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IFERROR(__xludf.DUMMYFUNCTION("IMPORTRANGE(""https://docs.google.com/spreadsheets/d/1eHaY18a8A9IcSdp1K8H6x8fbOy06t2VsZHhMHf-1x7Y/edit?usp=sharing"",""แผน!BB78"")"),0)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30" t="s">
        <v>81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IFERROR(__xludf.DUMMYFUNCTION("IMPORTRANGE(""https://docs.google.com/spreadsheets/d/1eHaY18a8A9IcSdp1K8H6x8fbOy06t2VsZHhMHf-1x7Y/edit?usp=sharing"",""แผน!BC78"")"),0)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30" t="s">
        <v>82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IFERROR(__xludf.DUMMYFUNCTION("IMPORTRANGE(""https://docs.google.com/spreadsheets/d/1eHaY18a8A9IcSdp1K8H6x8fbOy06t2VsZHhMHf-1x7Y/edit?usp=sharing"",""แผน!BD78"")"),0)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52" t="s">
        <v>83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IFERROR(__xludf.DUMMYFUNCTION("IMPORTRANGE(""https://docs.google.com/spreadsheets/d/1eHaY18a8A9IcSdp1K8H6x8fbOy06t2VsZHhMHf-1x7Y/edit?usp=sharing"",""แผน!BE78"")"),0)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IFERROR(__xludf.DUMMYFUNCTION("IMPORTRANGE(""https://docs.google.com/spreadsheets/d/1eHaY18a8A9IcSdp1K8H6x8fbOy06t2VsZHhMHf-1x7Y/edit?usp=sharing"",""แผน!BH78"")"),0)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IFERROR(__xludf.DUMMYFUNCTION("IMPORTRANGE(""https://docs.google.com/spreadsheets/d/1-uDff_7J0KD5mKrp0Vvzr7lt3OU09vwQwhkpOPPYv2Y/edit?usp=sharing"",""งบพรบ!DE78"")"),0)</f>
        <v>0</v>
      </c>
      <c r="M271" s="51">
        <f ca="1">IFERROR(__xludf.DUMMYFUNCTION("IMPORTRANGE(""https://docs.google.com/spreadsheets/d/1-uDff_7J0KD5mKrp0Vvzr7lt3OU09vwQwhkpOPPYv2Y/edit?usp=sharing"",""งบพรบ!DJ78"")"),0)</f>
        <v>0</v>
      </c>
      <c r="N271" s="51">
        <f ca="1">IFERROR(__xludf.DUMMYFUNCTION("IMPORTRANGE(""https://docs.google.com/spreadsheets/d/1-uDff_7J0KD5mKrp0Vvzr7lt3OU09vwQwhkpOPPYv2Y/edit?usp=sharing"",""งบพรบ!DL78"")"),0)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IFERROR(__xludf.DUMMYFUNCTION("IMPORTRANGE(""https://docs.google.com/spreadsheets/d/1-uDff_7J0KD5mKrp0Vvzr7lt3OU09vwQwhkpOPPYv2Y/edit?usp=sharing"",""งบพรบ!DH78"")"),0)</f>
        <v>0</v>
      </c>
      <c r="M274" s="51">
        <f ca="1">IFERROR(__xludf.DUMMYFUNCTION("IMPORTRANGE(""https://docs.google.com/spreadsheets/d/1-uDff_7J0KD5mKrp0Vvzr7lt3OU09vwQwhkpOPPYv2Y/edit?usp=sharing"",""งบพรบ!DK78"")"),0)</f>
        <v>0</v>
      </c>
      <c r="N274" s="51">
        <f ca="1">IFERROR(__xludf.DUMMYFUNCTION("IMPORTRANGE(""https://docs.google.com/spreadsheets/d/1-uDff_7J0KD5mKrp0Vvzr7lt3OU09vwQwhkpOPPYv2Y/edit?usp=sharing"",""งบพรบ!DM78"")"),0)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IFERROR(__xludf.DUMMYFUNCTION("IMPORTRANGE(""https://docs.google.com/spreadsheets/d/1-uDff_7J0KD5mKrp0Vvzr7lt3OU09vwQwhkpOPPYv2Y/edit?usp=sharing"",""งบพรบ!DO78"")"),0)</f>
        <v>0</v>
      </c>
      <c r="M287" s="48">
        <f ca="1">IFERROR(__xludf.DUMMYFUNCTION("IMPORTRANGE(""https://docs.google.com/spreadsheets/d/1-uDff_7J0KD5mKrp0Vvzr7lt3OU09vwQwhkpOPPYv2Y/edit?usp=sharing"",""งบพรบ!DT78"")"),0)</f>
        <v>0</v>
      </c>
      <c r="N287" s="48">
        <f ca="1">IFERROR(__xludf.DUMMYFUNCTION("IMPORTRANGE(""https://docs.google.com/spreadsheets/d/1-uDff_7J0KD5mKrp0Vvzr7lt3OU09vwQwhkpOPPYv2Y/edit?usp=sharing"",""งบพรบ!DV78"")"),0)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IFERROR(__xludf.DUMMYFUNCTION("IMPORTRANGE(""https://docs.google.com/spreadsheets/d/1-uDff_7J0KD5mKrp0Vvzr7lt3OU09vwQwhkpOPPYv2Y/edit?usp=sharing"",""งบพรบ!DR78"")"),0)</f>
        <v>0</v>
      </c>
      <c r="M290" s="48">
        <f ca="1">IFERROR(__xludf.DUMMYFUNCTION("IMPORTRANGE(""https://docs.google.com/spreadsheets/d/1-uDff_7J0KD5mKrp0Vvzr7lt3OU09vwQwhkpOPPYv2Y/edit?usp=sharing"",""งบพรบ!DU78"")"),0)</f>
        <v>0</v>
      </c>
      <c r="N290" s="48">
        <f ca="1">IFERROR(__xludf.DUMMYFUNCTION("IMPORTRANGE(""https://docs.google.com/spreadsheets/d/1-uDff_7J0KD5mKrp0Vvzr7lt3OU09vwQwhkpOPPYv2Y/edit?usp=sharing"",""งบพรบ!DW78"")"),0)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IFERROR(__xludf.DUMMYFUNCTION("IMPORTRANGE(""https://docs.google.com/spreadsheets/d/1eHaY18a8A9IcSdp1K8H6x8fbOy06t2VsZHhMHf-1x7Y/edit?usp=sharing"",""แผน!EE78"")"),0)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IFERROR(__xludf.DUMMYFUNCTION("IMPORTRANGE(""https://docs.google.com/spreadsheets/d/1eHaY18a8A9IcSdp1K8H6x8fbOy06t2VsZHhMHf-1x7Y/edit?usp=sharing"",""แผน!ED78"")"),0)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IFERROR(__xludf.DUMMYFUNCTION("IMPORTRANGE(""https://docs.google.com/spreadsheets/d/1eHaY18a8A9IcSdp1K8H6x8fbOy06t2VsZHhMHf-1x7Y/edit?usp=sharing"",""แผน!ED78"")"),0)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IFERROR(__xludf.DUMMYFUNCTION("IMPORTRANGE(""https://docs.google.com/spreadsheets/d/1eHaY18a8A9IcSdp1K8H6x8fbOy06t2VsZHhMHf-1x7Y/edit?usp=sharing"",""แผน!ED78"")"),0)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IFERROR(__xludf.DUMMYFUNCTION("IMPORTRANGE(""https://docs.google.com/spreadsheets/d/1-uDff_7J0KD5mKrp0Vvzr7lt3OU09vwQwhkpOPPYv2Y/edit?usp=sharing"",""งบพรบ!DY78"")"),0)</f>
        <v>0</v>
      </c>
      <c r="M308" s="48">
        <f ca="1">IFERROR(__xludf.DUMMYFUNCTION("IMPORTRANGE(""https://docs.google.com/spreadsheets/d/1-uDff_7J0KD5mKrp0Vvzr7lt3OU09vwQwhkpOPPYv2Y/edit?usp=sharing"",""งบพรบ!ED78"")"),0)</f>
        <v>0</v>
      </c>
      <c r="N308" s="48">
        <f ca="1">IFERROR(__xludf.DUMMYFUNCTION("IMPORTRANGE(""https://docs.google.com/spreadsheets/d/1-uDff_7J0KD5mKrp0Vvzr7lt3OU09vwQwhkpOPPYv2Y/edit?usp=sharing"",""งบพรบ!EF78"")"),0)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IFERROR(__xludf.DUMMYFUNCTION("IMPORTRANGE(""https://docs.google.com/spreadsheets/d/1-uDff_7J0KD5mKrp0Vvzr7lt3OU09vwQwhkpOPPYv2Y/edit?usp=sharing"",""งบพรบ!EB78"")"),0)</f>
        <v>0</v>
      </c>
      <c r="M311" s="48">
        <f ca="1">IFERROR(__xludf.DUMMYFUNCTION("IMPORTRANGE(""https://docs.google.com/spreadsheets/d/1-uDff_7J0KD5mKrp0Vvzr7lt3OU09vwQwhkpOPPYv2Y/edit?usp=sharing"",""งบพรบ!EE78"")"),0)</f>
        <v>0</v>
      </c>
      <c r="N311" s="48">
        <f ca="1">IFERROR(__xludf.DUMMYFUNCTION("IMPORTRANGE(""https://docs.google.com/spreadsheets/d/1-uDff_7J0KD5mKrp0Vvzr7lt3OU09vwQwhkpOPPYv2Y/edit?usp=sharing"",""งบพรบ!EG78"")"),0)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IFERROR(__xludf.DUMMYFUNCTION("IMPORTRANGE(""https://docs.google.com/spreadsheets/d/1eHaY18a8A9IcSdp1K8H6x8fbOy06t2VsZHhMHf-1x7Y/edit?usp=sharing"",""แผน!EF78"")"),0)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IFERROR(__xludf.DUMMYFUNCTION("IMPORTRANGE(""https://docs.google.com/spreadsheets/d/1eHaY18a8A9IcSdp1K8H6x8fbOy06t2VsZHhMHf-1x7Y/edit?usp=sharing"",""แผน!EG78"")"),0)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IFERROR(__xludf.DUMMYFUNCTION("IMPORTRANGE(""https://docs.google.com/spreadsheets/d/1eHaY18a8A9IcSdp1K8H6x8fbOy06t2VsZHhMHf-1x7Y/edit?usp=sharing"",""แผน!EH78"")"),0)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IFERROR(__xludf.DUMMYFUNCTION("IMPORTRANGE(""https://docs.google.com/spreadsheets/d/1eHaY18a8A9IcSdp1K8H6x8fbOy06t2VsZHhMHf-1x7Y/edit?usp=sharing"",""แผน!EI78"")"),0)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hidden="1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IFERROR(__xludf.DUMMYFUNCTION("IMPORTRANGE(""https://docs.google.com/spreadsheets/d/1-uDff_7J0KD5mKrp0Vvzr7lt3OU09vwQwhkpOPPYv2Y/edit?usp=sharing"",""งบพรบ!EI78"")"),0)</f>
        <v>0</v>
      </c>
      <c r="M325" s="48">
        <f ca="1">IFERROR(__xludf.DUMMYFUNCTION("IMPORTRANGE(""https://docs.google.com/spreadsheets/d/1-uDff_7J0KD5mKrp0Vvzr7lt3OU09vwQwhkpOPPYv2Y/edit?usp=sharing"",""งบพรบ!EN78"")"),0)</f>
        <v>0</v>
      </c>
      <c r="N325" s="48">
        <f ca="1">IFERROR(__xludf.DUMMYFUNCTION("IMPORTRANGE(""https://docs.google.com/spreadsheets/d/1-uDff_7J0KD5mKrp0Vvzr7lt3OU09vwQwhkpOPPYv2Y/edit?usp=sharing"",""งบพรบ!EP78"")"),0)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IFERROR(__xludf.DUMMYFUNCTION("IMPORTRANGE(""https://docs.google.com/spreadsheets/d/1-uDff_7J0KD5mKrp0Vvzr7lt3OU09vwQwhkpOPPYv2Y/edit?usp=sharing"",""งบพรบ!EL78"")"),0)</f>
        <v>0</v>
      </c>
      <c r="M328" s="48">
        <f ca="1">IFERROR(__xludf.DUMMYFUNCTION("IMPORTRANGE(""https://docs.google.com/spreadsheets/d/1-uDff_7J0KD5mKrp0Vvzr7lt3OU09vwQwhkpOPPYv2Y/edit?usp=sharing"",""งบพรบ!EO78"")"),0)</f>
        <v>0</v>
      </c>
      <c r="N328" s="48">
        <f ca="1">IFERROR(__xludf.DUMMYFUNCTION("IMPORTRANGE(""https://docs.google.com/spreadsheets/d/1-uDff_7J0KD5mKrp0Vvzr7lt3OU09vwQwhkpOPPYv2Y/edit?usp=sharing"",""งบพรบ!EQ78"")"),0)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IFERROR(__xludf.DUMMYFUNCTION("IMPORTRANGE(""https://docs.google.com/spreadsheets/d/1eHaY18a8A9IcSdp1K8H6x8fbOy06t2VsZHhMHf-1x7Y/edit?usp=sharing"",""แผน!EJ78"")"),0)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1060</v>
      </c>
      <c r="J332" s="352">
        <f ca="1">J344+J347+J348+J349+J353</f>
        <v>1279</v>
      </c>
      <c r="K332" s="353">
        <f ca="1">IF(I332&gt;0,J332*100/I332,0)</f>
        <v>120.66037735849056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110000</v>
      </c>
      <c r="M333" s="141">
        <f ca="1">M334+M335</f>
        <v>85750</v>
      </c>
      <c r="N333" s="141">
        <f ca="1">N334+N335</f>
        <v>27456.6</v>
      </c>
      <c r="O333" s="141">
        <f ca="1">IF(L333&gt;0,N333*100/L333,0)</f>
        <v>24.960545454545453</v>
      </c>
      <c r="P333" s="141">
        <f ca="1">IF(M333&gt;0,N333*100/M333,0)</f>
        <v>32.019358600583089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110000</v>
      </c>
      <c r="M335" s="48">
        <f ca="1">M338+M341</f>
        <v>85750</v>
      </c>
      <c r="N335" s="48">
        <f ca="1">N338+N341</f>
        <v>27456.6</v>
      </c>
      <c r="O335" s="48">
        <f ca="1">IF(L335&gt;0,N335*100/L335,0)</f>
        <v>24.960545454545453</v>
      </c>
      <c r="P335" s="48">
        <f ca="1">IF(M335&gt;0,N335*100/M335,0)</f>
        <v>32.019358600583089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110000</v>
      </c>
      <c r="M336" s="48">
        <f ca="1">M337+M338</f>
        <v>85750</v>
      </c>
      <c r="N336" s="48">
        <f ca="1">N337+N338</f>
        <v>27456.6</v>
      </c>
      <c r="O336" s="48">
        <f ca="1">IF(L336&gt;0,N336*100/L336,0)</f>
        <v>24.960545454545453</v>
      </c>
      <c r="P336" s="48">
        <f ca="1">IF(M336&gt;0,N336*100/M336,0)</f>
        <v>32.019358600583089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IFERROR(__xludf.DUMMYFUNCTION("IMPORTRANGE(""https://docs.google.com/spreadsheets/d/1-uDff_7J0KD5mKrp0Vvzr7lt3OU09vwQwhkpOPPYv2Y/edit?usp=sharing"",""งบพรบ!ES78"")"),110000)</f>
        <v>110000</v>
      </c>
      <c r="M338" s="48">
        <f ca="1">IFERROR(__xludf.DUMMYFUNCTION("IMPORTRANGE(""https://docs.google.com/spreadsheets/d/1-uDff_7J0KD5mKrp0Vvzr7lt3OU09vwQwhkpOPPYv2Y/edit?usp=sharing"",""งบพรบ!EX78"")"),85750)</f>
        <v>85750</v>
      </c>
      <c r="N338" s="48">
        <f ca="1">IFERROR(__xludf.DUMMYFUNCTION("IMPORTRANGE(""https://docs.google.com/spreadsheets/d/1-uDff_7J0KD5mKrp0Vvzr7lt3OU09vwQwhkpOPPYv2Y/edit?usp=sharing"",""งบพรบ!EZ78"")"),27456.6)</f>
        <v>27456.6</v>
      </c>
      <c r="O338" s="48">
        <f ca="1">IF(L338&gt;0,N338*100/L338,0)</f>
        <v>24.960545454545453</v>
      </c>
      <c r="P338" s="48">
        <f ca="1">IF(M338&gt;0,N338*100/M338,0)</f>
        <v>32.019358600583089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IFERROR(__xludf.DUMMYFUNCTION("IMPORTRANGE(""https://docs.google.com/spreadsheets/d/1-uDff_7J0KD5mKrp0Vvzr7lt3OU09vwQwhkpOPPYv2Y/edit?usp=sharing"",""งบพรบ!EV78"")"),0)</f>
        <v>0</v>
      </c>
      <c r="M341" s="48">
        <f ca="1">IFERROR(__xludf.DUMMYFUNCTION("IMPORTRANGE(""https://docs.google.com/spreadsheets/d/1-uDff_7J0KD5mKrp0Vvzr7lt3OU09vwQwhkpOPPYv2Y/edit?usp=sharing"",""งบพรบ!EY78"")"),0)</f>
        <v>0</v>
      </c>
      <c r="N341" s="48">
        <f ca="1">IFERROR(__xludf.DUMMYFUNCTION("IMPORTRANGE(""https://docs.google.com/spreadsheets/d/1-uDff_7J0KD5mKrp0Vvzr7lt3OU09vwQwhkpOPPYv2Y/edit?usp=sharing"",""งบพรบ!FA78"")"),0)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584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IFERROR(__xludf.DUMMYFUNCTION("IMPORTRANGE(""https://docs.google.com/spreadsheets/d/1eHaY18a8A9IcSdp1K8H6x8fbOy06t2VsZHhMHf-1x7Y/edit?usp=sharing"",""แผน!EK78"")"),1060)</f>
        <v>1060</v>
      </c>
      <c r="J344" s="170">
        <f ca="1">IFERROR(__xludf.DUMMYFUNCTION("IMPORTRANGE(""https://docs.google.com/spreadsheets/d/1awYsYK3VOup2i3Pq_Yjnu8DRu_mYwSBnCR2QPthd0rU/edit?usp=sharing"",""ศูนย์ยกเว้นโฉนด!D78"")"),583)</f>
        <v>583</v>
      </c>
      <c r="K344" s="48">
        <f ca="1">IF(I344&gt;0,J344*100/I344,0)</f>
        <v>55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IFERROR(__xludf.DUMMYFUNCTION("IMPORTRANGE(""https://docs.google.com/spreadsheets/d/1eHaY18a8A9IcSdp1K8H6x8fbOy06t2VsZHhMHf-1x7Y/edit?usp=sharing"",""แผน!EL78"")"),5)</f>
        <v>5</v>
      </c>
      <c r="J346" s="170">
        <f ca="1">IFERROR(__xludf.DUMMYFUNCTION("IMPORTRANGE(""https://docs.google.com/spreadsheets/d/1awYsYK3VOup2i3Pq_Yjnu8DRu_mYwSBnCR2QPthd0rU/edit?usp=sharing"",""ศูนย์รวม!E78"")"),1)</f>
        <v>1</v>
      </c>
      <c r="K346" s="48">
        <f ca="1">IF(I346&gt;0,J346*100/I346,0)</f>
        <v>20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IFERROR(__xludf.DUMMYFUNCTION("IMPORTRANGE(""https://docs.google.com/spreadsheets/d/1awYsYK3VOup2i3Pq_Yjnu8DRu_mYwSBnCR2QPthd0rU/edit?usp=sharing"",""ศูนย์ยกเว้นโฉนด!F78"")"),1)</f>
        <v>1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IFERROR(__xludf.DUMMYFUNCTION("IMPORTRANGE(""https://docs.google.com/spreadsheets/d/1awYsYK3VOup2i3Pq_Yjnu8DRu_mYwSBnCR2QPthd0rU/edit?usp=sharing"",""ศูนย์ยกเว้นโฉนด!G78"")"),0)</f>
        <v>0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IFERROR(__xludf.DUMMYFUNCTION("IMPORTRANGE(""https://docs.google.com/spreadsheets/d/1awYsYK3VOup2i3Pq_Yjnu8DRu_mYwSBnCR2QPthd0rU/edit?usp=sharing"",""ศูนย์ยกเว้นโฉนด!H78"")"),0)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1687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IFERROR(__xludf.DUMMYFUNCTION("IMPORTRANGE(""https://docs.google.com/spreadsheets/d/1awYsYK3VOup2i3Pq_Yjnu8DRu_mYwSBnCR2QPthd0rU/edit?usp=sharing"",""โฉนดM3!G78"")"),992)</f>
        <v>992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IFERROR(__xludf.DUMMYFUNCTION("IMPORTRANGE(""https://docs.google.com/spreadsheets/d/1awYsYK3VOup2i3Pq_Yjnu8DRu_mYwSBnCR2QPthd0rU/edit?usp=sharing"",""โฉนดM3!H78"")"),695)</f>
        <v>695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760985</v>
      </c>
      <c r="M356" s="141">
        <f ca="1">M357+M358</f>
        <v>675385</v>
      </c>
      <c r="N356" s="141">
        <f ca="1">N357+N358</f>
        <v>88227.32</v>
      </c>
      <c r="O356" s="141">
        <f ca="1">IF(L356&gt;0,N356*100/L356,0)</f>
        <v>11.593831678679607</v>
      </c>
      <c r="P356" s="141">
        <f ca="1">IF(M356&gt;0,N356*100/M356,0)</f>
        <v>13.063263175818237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760985</v>
      </c>
      <c r="M358" s="48">
        <f ca="1">M361+M364</f>
        <v>675385</v>
      </c>
      <c r="N358" s="48">
        <f ca="1">N361+N364</f>
        <v>88227.32</v>
      </c>
      <c r="O358" s="48">
        <f ca="1">IF(L358&gt;0,N358*100/L358,0)</f>
        <v>11.593831678679607</v>
      </c>
      <c r="P358" s="48">
        <f ca="1">IF(M358&gt;0,N358*100/M358,0)</f>
        <v>13.063263175818237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760985</v>
      </c>
      <c r="M359" s="48">
        <f ca="1">M360+M361</f>
        <v>675385</v>
      </c>
      <c r="N359" s="48">
        <f ca="1">N360+N361</f>
        <v>88227.32</v>
      </c>
      <c r="O359" s="48">
        <f ca="1">IF(L359&gt;0,N359*100/L359,0)</f>
        <v>11.593831678679607</v>
      </c>
      <c r="P359" s="48">
        <f ca="1">IF(M359&gt;0,N359*100/M359,0)</f>
        <v>13.063263175818237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IFERROR(__xludf.DUMMYFUNCTION("IMPORTRANGE(""https://docs.google.com/spreadsheets/d/1-uDff_7J0KD5mKrp0Vvzr7lt3OU09vwQwhkpOPPYv2Y/edit?usp=sharing"",""งบพรบ!FC78"")"),760985)</f>
        <v>760985</v>
      </c>
      <c r="M361" s="48">
        <f ca="1">IFERROR(__xludf.DUMMYFUNCTION("IMPORTRANGE(""https://docs.google.com/spreadsheets/d/1-uDff_7J0KD5mKrp0Vvzr7lt3OU09vwQwhkpOPPYv2Y/edit?usp=sharing"",""งบพรบ!FH78"")"),675385)</f>
        <v>675385</v>
      </c>
      <c r="N361" s="48">
        <f ca="1">IFERROR(__xludf.DUMMYFUNCTION("IMPORTRANGE(""https://docs.google.com/spreadsheets/d/1-uDff_7J0KD5mKrp0Vvzr7lt3OU09vwQwhkpOPPYv2Y/edit?usp=sharing"",""งบพรบ!FJ78"")"),88227.32)</f>
        <v>88227.32</v>
      </c>
      <c r="O361" s="48">
        <f ca="1">IF(L361&gt;0,N361*100/L361,0)</f>
        <v>11.593831678679607</v>
      </c>
      <c r="P361" s="48">
        <f ca="1">IF(M361&gt;0,N361*100/M361,0)</f>
        <v>13.063263175818237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IFERROR(__xludf.DUMMYFUNCTION("IMPORTRANGE(""https://docs.google.com/spreadsheets/d/1-uDff_7J0KD5mKrp0Vvzr7lt3OU09vwQwhkpOPPYv2Y/edit?usp=sharing"",""งบพรบ!FF78"")"),0)</f>
        <v>0</v>
      </c>
      <c r="M364" s="48">
        <f ca="1">IFERROR(__xludf.DUMMYFUNCTION("IMPORTRANGE(""https://docs.google.com/spreadsheets/d/1-uDff_7J0KD5mKrp0Vvzr7lt3OU09vwQwhkpOPPYv2Y/edit?usp=sharing"",""งบพรบ!FI78"")"),0)</f>
        <v>0</v>
      </c>
      <c r="N364" s="48">
        <f ca="1">IFERROR(__xludf.DUMMYFUNCTION("IMPORTRANGE(""https://docs.google.com/spreadsheets/d/1-uDff_7J0KD5mKrp0Vvzr7lt3OU09vwQwhkpOPPYv2Y/edit?usp=sharing"",""งบพรบ!FK78"")"),0)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468</v>
      </c>
      <c r="J365" s="240">
        <f ca="1">J371</f>
        <v>9</v>
      </c>
      <c r="K365" s="241">
        <f ca="1">IF(I365&gt;0,J365*100/I365,0)</f>
        <v>1.9230769230769231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IFERROR(__xludf.DUMMYFUNCTION("IMPORTRANGE(""https://docs.google.com/spreadsheets/d/1tdoBKaGub7dwA3U6UFTqxio9LNnvDCQjHKmttSEBsFQ/edit?usp=sharing"",""จัดที่ดิน!AB78"")"),0)</f>
        <v>0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IFERROR(__xludf.DUMMYFUNCTION("IMPORTRANGE(""https://docs.google.com/spreadsheets/d/1eHaY18a8A9IcSdp1K8H6x8fbOy06t2VsZHhMHf-1x7Y/edit?usp=sharing"",""แผน!EW78"")"),4210)</f>
        <v>4210</v>
      </c>
      <c r="J368" s="368">
        <f ca="1">IFERROR(__xludf.DUMMYFUNCTION("IMPORTRANGE(""https://docs.google.com/spreadsheets/d/1tdoBKaGub7dwA3U6UFTqxio9LNnvDCQjHKmttSEBsFQ/edit?usp=sharing"",""จัดที่ดิน!AC78"")"),0)</f>
        <v>0</v>
      </c>
      <c r="K368" s="48">
        <f ca="1">IF(I368&gt;0,J368*100/I368,0)</f>
        <v>0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IFERROR(__xludf.DUMMYFUNCTION("IMPORTRANGE(""https://docs.google.com/spreadsheets/d/1eHaY18a8A9IcSdp1K8H6x8fbOy06t2VsZHhMHf-1x7Y/edit?usp=sharing"",""แผน!EX78"")"),717)</f>
        <v>717</v>
      </c>
      <c r="J369" s="170">
        <f ca="1">IFERROR(__xludf.DUMMYFUNCTION("IMPORTRANGE(""https://docs.google.com/spreadsheets/d/1tdoBKaGub7dwA3U6UFTqxio9LNnvDCQjHKmttSEBsFQ/edit?usp=sharing"",""จัดที่ดิน!AD78"")"),22)</f>
        <v>22</v>
      </c>
      <c r="K369" s="48">
        <f ca="1">IF(I369&gt;0,J369*100/I369,0)</f>
        <v>3.0683403068340307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IFERROR(__xludf.DUMMYFUNCTION("IMPORTRANGE(""https://docs.google.com/spreadsheets/d/1tdoBKaGub7dwA3U6UFTqxio9LNnvDCQjHKmttSEBsFQ/edit?usp=sharing"",""จัดที่ดิน!AE78"")"),310.39)</f>
        <v>310.39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IFERROR(__xludf.DUMMYFUNCTION("IMPORTRANGE(""https://docs.google.com/spreadsheets/d/1eHaY18a8A9IcSdp1K8H6x8fbOy06t2VsZHhMHf-1x7Y/edit?usp=sharing"",""แผน!EY78"")"),468)</f>
        <v>468</v>
      </c>
      <c r="J371" s="170">
        <f ca="1">IFERROR(__xludf.DUMMYFUNCTION("IMPORTRANGE(""https://docs.google.com/spreadsheets/d/1tdoBKaGub7dwA3U6UFTqxio9LNnvDCQjHKmttSEBsFQ/edit?usp=sharing"",""จัดที่ดิน!AF78"")"),9)</f>
        <v>9</v>
      </c>
      <c r="K371" s="48">
        <f ca="1">IF(I371&gt;0,J371*100/I371,0)</f>
        <v>1.9230769230769231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IFERROR(__xludf.DUMMYFUNCTION("IMPORTRANGE(""https://docs.google.com/spreadsheets/d/1tdoBKaGub7dwA3U6UFTqxio9LNnvDCQjHKmttSEBsFQ/edit?usp=sharing"",""จัดที่ดิน!AG78"")"),147.96)</f>
        <v>147.96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IFERROR(__xludf.DUMMYFUNCTION("IMPORTRANGE(""https://docs.google.com/spreadsheets/d/1-uDff_7J0KD5mKrp0Vvzr7lt3OU09vwQwhkpOPPYv2Y/edit?usp=sharing"",""งบพรบ!FM78"")"),0)</f>
        <v>0</v>
      </c>
      <c r="M382" s="51">
        <f ca="1">IFERROR(__xludf.DUMMYFUNCTION("IMPORTRANGE(""https://docs.google.com/spreadsheets/d/1-uDff_7J0KD5mKrp0Vvzr7lt3OU09vwQwhkpOPPYv2Y/edit?usp=sharing"",""งบพรบ!FR78"")"),0)</f>
        <v>0</v>
      </c>
      <c r="N382" s="51">
        <f ca="1">IFERROR(__xludf.DUMMYFUNCTION("IMPORTRANGE(""https://docs.google.com/spreadsheets/d/1-uDff_7J0KD5mKrp0Vvzr7lt3OU09vwQwhkpOPPYv2Y/edit?usp=sharing"",""งบพรบ!FT78"")"),0)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IFERROR(__xludf.DUMMYFUNCTION("IMPORTRANGE(""https://docs.google.com/spreadsheets/d/1-uDff_7J0KD5mKrp0Vvzr7lt3OU09vwQwhkpOPPYv2Y/edit?usp=sharing"",""งบพรบ!FP78"")"),0)</f>
        <v>0</v>
      </c>
      <c r="M385" s="51">
        <f ca="1">IFERROR(__xludf.DUMMYFUNCTION("IMPORTRANGE(""https://docs.google.com/spreadsheets/d/1-uDff_7J0KD5mKrp0Vvzr7lt3OU09vwQwhkpOPPYv2Y/edit?usp=sharing"",""งบพรบ!FS78"")"),0)</f>
        <v>0</v>
      </c>
      <c r="N385" s="51">
        <f ca="1">IFERROR(__xludf.DUMMYFUNCTION("IMPORTRANGE(""https://docs.google.com/spreadsheets/d/1-uDff_7J0KD5mKrp0Vvzr7lt3OU09vwQwhkpOPPYv2Y/edit?usp=sharing"",""งบพรบ!FU78"")"),0)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3" orientation="portrait" r:id="rId1"/>
  <headerFooter>
    <oddFooter>&amp;Cหน้า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0387-3644-465B-B5FD-6D32A91D3B8C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1.28515625" bestFit="1" customWidth="1"/>
    <col min="11" max="11" width="12.28515625" bestFit="1" customWidth="1"/>
    <col min="12" max="12" width="20.7109375" bestFit="1" customWidth="1"/>
    <col min="13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158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1135795</v>
      </c>
      <c r="M18" s="34">
        <f ca="1">M19+M20</f>
        <v>908995</v>
      </c>
      <c r="N18" s="34">
        <f ca="1">N19+N20</f>
        <v>355258.12</v>
      </c>
      <c r="O18" s="34">
        <f ca="1">IF(L18&gt;0,N18*100/L18,0)</f>
        <v>31.278366254473738</v>
      </c>
      <c r="P18" s="34">
        <f ca="1">IF(M18&gt;0,N18*100/M18,0)</f>
        <v>39.082516405480781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1135795</v>
      </c>
      <c r="M20" s="40">
        <f ca="1">M23+M26</f>
        <v>908995</v>
      </c>
      <c r="N20" s="40">
        <f ca="1">N23+N26</f>
        <v>355258.12</v>
      </c>
      <c r="O20" s="40">
        <f ca="1">IF(L20&gt;0,N20*100/L20,0)</f>
        <v>31.278366254473738</v>
      </c>
      <c r="P20" s="40">
        <f ca="1">IF(M20&gt;0,N20*100/M20,0)</f>
        <v>39.082516405480781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1135795</v>
      </c>
      <c r="M21" s="48">
        <f ca="1">M22+M23</f>
        <v>908995</v>
      </c>
      <c r="N21" s="48">
        <f ca="1">N22+N23</f>
        <v>355258.12</v>
      </c>
      <c r="O21" s="48">
        <f ca="1">IF(L21&gt;0,N21*100/L21,0)</f>
        <v>31.278366254473738</v>
      </c>
      <c r="P21" s="48">
        <f ca="1">IF(M21&gt;0,N21*100/M21,0)</f>
        <v>39.082516405480781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1135795</v>
      </c>
      <c r="M23" s="48">
        <f ca="1">M49+M64+M77+M99+M130+M144+M162+M191+M178+M271+M287+M308+M325+M338+M361+M382</f>
        <v>908995</v>
      </c>
      <c r="N23" s="48">
        <f ca="1">N49+N64+N77+N99+N130+N144+N162+N191+N178+N271+N287+N308+N325+N338+N361+N382</f>
        <v>355258.12</v>
      </c>
      <c r="O23" s="48">
        <f ca="1">IF(L23&gt;0,N23*100/L23,0)</f>
        <v>31.278366254473738</v>
      </c>
      <c r="P23" s="48">
        <f ca="1">IF(M23&gt;0,N23*100/M23,0)</f>
        <v>39.082516405480781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1135795</v>
      </c>
      <c r="M40" s="65">
        <f ca="1">M44+M59+M72+M94+M125+M139+M157+M173+M186+M266+M282+M303+M320+M333+M356</f>
        <v>908995</v>
      </c>
      <c r="N40" s="65">
        <f ca="1">N44+N59+N72+N94+N125+N139+N157+N173+N186+N266+N282+N303+N320+N333+N356</f>
        <v>355258.12</v>
      </c>
      <c r="O40" s="65">
        <f ca="1">IF(L40&gt;0,N40*100/L40,0)</f>
        <v>31.278366254473738</v>
      </c>
      <c r="P40" s="65">
        <f ca="1">IF(M40&gt;0,N40*100/M40,0)</f>
        <v>39.082516405480781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201350</v>
      </c>
      <c r="M44" s="84">
        <f ca="1">M45+M46</f>
        <v>201350</v>
      </c>
      <c r="N44" s="84">
        <f ca="1">N45+N46</f>
        <v>108750</v>
      </c>
      <c r="O44" s="84">
        <f ca="1">IF(L44&gt;0,N44*100/L44,0)</f>
        <v>54.010429600198663</v>
      </c>
      <c r="P44" s="84">
        <f ca="1">IF(M44&gt;0,N44*100/M44,0)</f>
        <v>54.010429600198663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201350</v>
      </c>
      <c r="M46" s="90">
        <f ca="1">M49+M52</f>
        <v>201350</v>
      </c>
      <c r="N46" s="90">
        <f ca="1">N49+N52</f>
        <v>108750</v>
      </c>
      <c r="O46" s="90">
        <f ca="1">IF(L46&gt;0,N46*100/L46,0)</f>
        <v>54.010429600198663</v>
      </c>
      <c r="P46" s="90">
        <f ca="1">IF(M46&gt;0,N46*100/M46,0)</f>
        <v>54.010429600198663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201350</v>
      </c>
      <c r="M47" s="48">
        <f ca="1">M48+M49</f>
        <v>201350</v>
      </c>
      <c r="N47" s="48">
        <f ca="1">N48+N49</f>
        <v>108750</v>
      </c>
      <c r="O47" s="48">
        <f ca="1">IF(L47&gt;0,N47*100/L47,0)</f>
        <v>54.010429600198663</v>
      </c>
      <c r="P47" s="48">
        <f ca="1">IF(M47&gt;0,N47*100/M47,0)</f>
        <v>54.010429600198663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IFERROR(__xludf.DUMMYFUNCTION("IMPORTRANGE(""https://docs.google.com/spreadsheets/d/1-uDff_7J0KD5mKrp0Vvzr7lt3OU09vwQwhkpOPPYv2Y/edit?usp=sharing"",""งบพรบ!P79"")"),201350)</f>
        <v>201350</v>
      </c>
      <c r="M49" s="48">
        <f ca="1">IFERROR(__xludf.DUMMYFUNCTION("IMPORTRANGE(""https://docs.google.com/spreadsheets/d/1-uDff_7J0KD5mKrp0Vvzr7lt3OU09vwQwhkpOPPYv2Y/edit?usp=sharing"",""งบพรบ!V79"")"),201350)</f>
        <v>201350</v>
      </c>
      <c r="N49" s="48">
        <f ca="1">IFERROR(__xludf.DUMMYFUNCTION("IMPORTRANGE(""https://docs.google.com/spreadsheets/d/1-uDff_7J0KD5mKrp0Vvzr7lt3OU09vwQwhkpOPPYv2Y/edit?usp=sharing"",""งบพรบ!Y79"")"),108750)</f>
        <v>108750</v>
      </c>
      <c r="O49" s="48">
        <f ca="1">IF(L49&gt;0,N49*100/L49,0)</f>
        <v>54.010429600198663</v>
      </c>
      <c r="P49" s="48">
        <f ca="1">IF(M49&gt;0,N49*100/M49,0)</f>
        <v>54.010429600198663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IFERROR(__xludf.DUMMYFUNCTION("IMPORTRANGE(""https://docs.google.com/spreadsheets/d/1-uDff_7J0KD5mKrp0Vvzr7lt3OU09vwQwhkpOPPYv2Y/edit?usp=sharing"",""งบพรบ!S79"")"),0)</f>
        <v>0</v>
      </c>
      <c r="M52" s="48">
        <f ca="1">IFERROR(__xludf.DUMMYFUNCTION("IMPORTRANGE(""https://docs.google.com/spreadsheets/d/1-uDff_7J0KD5mKrp0Vvzr7lt3OU09vwQwhkpOPPYv2Y/edit?usp=sharing"",""งบพรบ!W79"")"),0)</f>
        <v>0</v>
      </c>
      <c r="N52" s="48">
        <f ca="1">IFERROR(__xludf.DUMMYFUNCTION("IMPORTRANGE(""https://docs.google.com/spreadsheets/d/1-uDff_7J0KD5mKrp0Vvzr7lt3OU09vwQwhkpOPPYv2Y/edit?usp=sharing"",""งบพรบ!Z79"")"),0)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380700</v>
      </c>
      <c r="M59" s="113">
        <f ca="1">M60+M61</f>
        <v>287550</v>
      </c>
      <c r="N59" s="113">
        <f ca="1">N60+N61</f>
        <v>133560.12</v>
      </c>
      <c r="O59" s="113">
        <f ca="1">IF(L59&gt;0,N59*100/L59,0)</f>
        <v>35.082773837667453</v>
      </c>
      <c r="P59" s="113">
        <f ca="1">IF(M59&gt;0,N59*100/M59,0)</f>
        <v>46.447616066770998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380700</v>
      </c>
      <c r="M61" s="119">
        <f ca="1">M64+M67</f>
        <v>287550</v>
      </c>
      <c r="N61" s="119">
        <f ca="1">N64+N67</f>
        <v>133560.12</v>
      </c>
      <c r="O61" s="119">
        <f ca="1">IF(L61&gt;0,N61*100/L61,0)</f>
        <v>35.082773837667453</v>
      </c>
      <c r="P61" s="119">
        <f ca="1">IF(M61&gt;0,N61*100/M61,0)</f>
        <v>46.447616066770998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380700</v>
      </c>
      <c r="M62" s="48">
        <f ca="1">M63+M64</f>
        <v>287550</v>
      </c>
      <c r="N62" s="48">
        <f ca="1">N63+N64</f>
        <v>133560.12</v>
      </c>
      <c r="O62" s="48">
        <f ca="1">IF(L62&gt;0,N62*100/L62,0)</f>
        <v>35.082773837667453</v>
      </c>
      <c r="P62" s="48">
        <f ca="1">IF(M62&gt;0,N62*100/M62,0)</f>
        <v>46.447616066770998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IFERROR(__xludf.DUMMYFUNCTION("IMPORTRANGE(""https://docs.google.com/spreadsheets/d/1-uDff_7J0KD5mKrp0Vvzr7lt3OU09vwQwhkpOPPYv2Y/edit?usp=sharing"",""งบพรบ!AC79"")"),380700)</f>
        <v>380700</v>
      </c>
      <c r="M64" s="48">
        <f ca="1">IFERROR(__xludf.DUMMYFUNCTION("IMPORTRANGE(""https://docs.google.com/spreadsheets/d/1-uDff_7J0KD5mKrp0Vvzr7lt3OU09vwQwhkpOPPYv2Y/edit?usp=sharing"",""งบพรบ!AH79"")"),287550)</f>
        <v>287550</v>
      </c>
      <c r="N64" s="48">
        <f ca="1">IFERROR(__xludf.DUMMYFUNCTION("IMPORTRANGE(""https://docs.google.com/spreadsheets/d/1-uDff_7J0KD5mKrp0Vvzr7lt3OU09vwQwhkpOPPYv2Y/edit?usp=sharing"",""งบพรบ!AJ79"")"),133560.12)</f>
        <v>133560.12</v>
      </c>
      <c r="O64" s="48">
        <f ca="1">IF(L64&gt;0,N64*100/L64,0)</f>
        <v>35.082773837667453</v>
      </c>
      <c r="P64" s="48">
        <f ca="1">IF(M64&gt;0,N64*100/M64,0)</f>
        <v>46.447616066770998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IFERROR(__xludf.DUMMYFUNCTION("IMPORTRANGE(""https://docs.google.com/spreadsheets/d/1-uDff_7J0KD5mKrp0Vvzr7lt3OU09vwQwhkpOPPYv2Y/edit?usp=sharing"",""งบพรบ!AF79"")"),0)</f>
        <v>0</v>
      </c>
      <c r="M67" s="59">
        <f ca="1">IFERROR(__xludf.DUMMYFUNCTION("IMPORTRANGE(""https://docs.google.com/spreadsheets/d/1-uDff_7J0KD5mKrp0Vvzr7lt3OU09vwQwhkpOPPYv2Y/edit?usp=sharing"",""งบพรบ!AI79"")"),0)</f>
        <v>0</v>
      </c>
      <c r="N67" s="59">
        <f ca="1">IFERROR(__xludf.DUMMYFUNCTION("IMPORTRANGE(""https://docs.google.com/spreadsheets/d/1-uDff_7J0KD5mKrp0Vvzr7lt3OU09vwQwhkpOPPYv2Y/edit?usp=sharing"",""งบพรบ!AK79"")"),0)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IFERROR(__xludf.DUMMYFUNCTION("IMPORTRANGE(""https://docs.google.com/spreadsheets/d/1-uDff_7J0KD5mKrp0Vvzr7lt3OU09vwQwhkpOPPYv2Y/edit?usp=sharing"",""งบพรบ!AM79"")"),0)</f>
        <v>0</v>
      </c>
      <c r="M77" s="48">
        <f ca="1">IFERROR(__xludf.DUMMYFUNCTION("IMPORTRANGE(""https://docs.google.com/spreadsheets/d/1-uDff_7J0KD5mKrp0Vvzr7lt3OU09vwQwhkpOPPYv2Y/edit?usp=sharing"",""งบพรบ!AR79"")"),0)</f>
        <v>0</v>
      </c>
      <c r="N77" s="48">
        <f ca="1">IFERROR(__xludf.DUMMYFUNCTION("IMPORTRANGE(""https://docs.google.com/spreadsheets/d/1-uDff_7J0KD5mKrp0Vvzr7lt3OU09vwQwhkpOPPYv2Y/edit?usp=sharing"",""งบพรบ!AT79"")"),0)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IFERROR(__xludf.DUMMYFUNCTION("IMPORTRANGE(""https://docs.google.com/spreadsheets/d/1-uDff_7J0KD5mKrp0Vvzr7lt3OU09vwQwhkpOPPYv2Y/edit?usp=sharing"",""งบพรบ!AP79"")"),0)</f>
        <v>0</v>
      </c>
      <c r="M80" s="48">
        <f ca="1">IFERROR(__xludf.DUMMYFUNCTION("IMPORTRANGE(""https://docs.google.com/spreadsheets/d/1-uDff_7J0KD5mKrp0Vvzr7lt3OU09vwQwhkpOPPYv2Y/edit?usp=sharing"",""งบพรบ!AS79"")"),0)</f>
        <v>0</v>
      </c>
      <c r="N80" s="48">
        <f ca="1">IFERROR(__xludf.DUMMYFUNCTION("IMPORTRANGE(""https://docs.google.com/spreadsheets/d/1-uDff_7J0KD5mKrp0Vvzr7lt3OU09vwQwhkpOPPYv2Y/edit?usp=sharing"",""งบพรบ!AU79"")"),0)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IFERROR(__xludf.DUMMYFUNCTION("IMPORTRANGE(""https://docs.google.com/spreadsheets/d/1eHaY18a8A9IcSdp1K8H6x8fbOy06t2VsZHhMHf-1x7Y/edit?usp=sharing"",""แผน!H79"")"),0)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IFERROR(__xludf.DUMMYFUNCTION("IMPORTRANGE(""https://docs.google.com/spreadsheets/d/1eHaY18a8A9IcSdp1K8H6x8fbOy06t2VsZHhMHf-1x7Y/edit?usp=sharing"",""แผน!I79"")"),0)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IFERROR(__xludf.DUMMYFUNCTION("IMPORTRANGE(""https://docs.google.com/spreadsheets/d/1eHaY18a8A9IcSdp1K8H6x8fbOy06t2VsZHhMHf-1x7Y/edit?usp=sharing"",""แผน!F79"")"),0)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IFERROR(__xludf.DUMMYFUNCTION("IMPORTRANGE(""https://docs.google.com/spreadsheets/d/1eHaY18a8A9IcSdp1K8H6x8fbOy06t2VsZHhMHf-1x7Y/edit?usp=sharing"",""แผน!G79"")"),0)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IFERROR(__xludf.DUMMYFUNCTION("IMPORTRANGE(""https://docs.google.com/spreadsheets/d/1eHaY18a8A9IcSdp1K8H6x8fbOy06t2VsZHhMHf-1x7Y/edit?usp=sharing"",""แผน!D79"")"),0)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IFERROR(__xludf.DUMMYFUNCTION("IMPORTRANGE(""https://docs.google.com/spreadsheets/d/1eHaY18a8A9IcSdp1K8H6x8fbOy06t2VsZHhMHf-1x7Y/edit?usp=sharing"",""แผน!E79"")"),0)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IFERROR(__xludf.DUMMYFUNCTION("IMPORTRANGE(""https://docs.google.com/spreadsheets/d/1eHaY18a8A9IcSdp1K8H6x8fbOy06t2VsZHhMHf-1x7Y/edit?usp=sharing"",""แผน!J79"")"),0)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IFERROR(__xludf.DUMMYFUNCTION("IMPORTRANGE(""https://docs.google.com/spreadsheets/d/1-uDff_7J0KD5mKrp0Vvzr7lt3OU09vwQwhkpOPPYv2Y/edit?usp=sharing"",""งบพรบ!AW79"")"),0)</f>
        <v>0</v>
      </c>
      <c r="M99" s="48">
        <f ca="1">IFERROR(__xludf.DUMMYFUNCTION("IMPORTRANGE(""https://docs.google.com/spreadsheets/d/1-uDff_7J0KD5mKrp0Vvzr7lt3OU09vwQwhkpOPPYv2Y/edit?usp=sharing"",""งบพรบ!BB79"")"),0)</f>
        <v>0</v>
      </c>
      <c r="N99" s="48">
        <f ca="1">IFERROR(__xludf.DUMMYFUNCTION("IMPORTRANGE(""https://docs.google.com/spreadsheets/d/1-uDff_7J0KD5mKrp0Vvzr7lt3OU09vwQwhkpOPPYv2Y/edit?usp=sharing"",""งบพรบ!BD79"")"),0)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IFERROR(__xludf.DUMMYFUNCTION("IMPORTRANGE(""https://docs.google.com/spreadsheets/d/1-uDff_7J0KD5mKrp0Vvzr7lt3OU09vwQwhkpOPPYv2Y/edit?usp=sharing"",""งบพรบ!AZ79"")"),0)</f>
        <v>0</v>
      </c>
      <c r="M102" s="48">
        <f ca="1">IFERROR(__xludf.DUMMYFUNCTION("IMPORTRANGE(""https://docs.google.com/spreadsheets/d/1-uDff_7J0KD5mKrp0Vvzr7lt3OU09vwQwhkpOPPYv2Y/edit?usp=sharing"",""งบพรบ!BC79"")"),0)</f>
        <v>0</v>
      </c>
      <c r="N102" s="48">
        <f ca="1">IFERROR(__xludf.DUMMYFUNCTION("IMPORTRANGE(""https://docs.google.com/spreadsheets/d/1-uDff_7J0KD5mKrp0Vvzr7lt3OU09vwQwhkpOPPYv2Y/edit?usp=sharing"",""งบพรบ!BE79"")"),0)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IFERROR(__xludf.DUMMYFUNCTION("IMPORTRANGE(""https://docs.google.com/spreadsheets/d/1eHaY18a8A9IcSdp1K8H6x8fbOy06t2VsZHhMHf-1x7Y/edit?usp=sharing"",""แผน!N79"")"),0)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IFERROR(__xludf.DUMMYFUNCTION("IMPORTRANGE(""https://docs.google.com/spreadsheets/d/1eHaY18a8A9IcSdp1K8H6x8fbOy06t2VsZHhMHf-1x7Y/edit?usp=sharing"",""แผน!O79"")"),0)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IFERROR(__xludf.DUMMYFUNCTION("IMPORTRANGE(""https://docs.google.com/spreadsheets/d/1eHaY18a8A9IcSdp1K8H6x8fbOy06t2VsZHhMHf-1x7Y/edit?usp=sharing"",""แผน!R79"")"),0)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IFERROR(__xludf.DUMMYFUNCTION("IMPORTRANGE(""https://docs.google.com/spreadsheets/d/1-uDff_7J0KD5mKrp0Vvzr7lt3OU09vwQwhkpOPPYv2Y/edit?usp=sharing"",""งบพรบ!BG79"")"),0)</f>
        <v>0</v>
      </c>
      <c r="M130" s="178">
        <f ca="1">IFERROR(__xludf.DUMMYFUNCTION("IMPORTRANGE(""https://docs.google.com/spreadsheets/d/1-uDff_7J0KD5mKrp0Vvzr7lt3OU09vwQwhkpOPPYv2Y/edit?usp=sharing"",""งบพรบ!BL79"")"),0)</f>
        <v>0</v>
      </c>
      <c r="N130" s="178">
        <f ca="1">IFERROR(__xludf.DUMMYFUNCTION("IMPORTRANGE(""https://docs.google.com/spreadsheets/d/1-uDff_7J0KD5mKrp0Vvzr7lt3OU09vwQwhkpOPPYv2Y/edit?usp=sharing"",""งบพรบ!BN79"")"),0)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IFERROR(__xludf.DUMMYFUNCTION("IMPORTRANGE(""https://docs.google.com/spreadsheets/d/1-uDff_7J0KD5mKrp0Vvzr7lt3OU09vwQwhkpOPPYv2Y/edit?usp=sharing"",""งบพรบ!BJ79"")"),0)</f>
        <v>0</v>
      </c>
      <c r="M133" s="178">
        <f ca="1">IFERROR(__xludf.DUMMYFUNCTION("IMPORTRANGE(""https://docs.google.com/spreadsheets/d/1-uDff_7J0KD5mKrp0Vvzr7lt3OU09vwQwhkpOPPYv2Y/edit?usp=sharing"",""งบพรบ!BM79"")"),0)</f>
        <v>0</v>
      </c>
      <c r="N133" s="178">
        <f ca="1">IFERROR(__xludf.DUMMYFUNCTION("IMPORTRANGE(""https://docs.google.com/spreadsheets/d/1-uDff_7J0KD5mKrp0Vvzr7lt3OU09vwQwhkpOPPYv2Y/edit?usp=sharing"",""งบพรบ!BO79"")"),0)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hidden="1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hidden="1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hidden="1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hidden="1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hidden="1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0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hidden="1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0</v>
      </c>
      <c r="M139" s="141">
        <f ca="1">M140+M141</f>
        <v>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hidden="1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0</v>
      </c>
      <c r="M141" s="48">
        <f ca="1">M144+M147</f>
        <v>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hidden="1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0</v>
      </c>
      <c r="M142" s="48">
        <f ca="1">M143+M144</f>
        <v>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hidden="1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IFERROR(__xludf.DUMMYFUNCTION("IMPORTRANGE(""https://docs.google.com/spreadsheets/d/1-uDff_7J0KD5mKrp0Vvzr7lt3OU09vwQwhkpOPPYv2Y/edit?usp=sharing"",""งบพรบ!BQ79"")"),0)</f>
        <v>0</v>
      </c>
      <c r="M144" s="48">
        <f ca="1">IFERROR(__xludf.DUMMYFUNCTION("IMPORTRANGE(""https://docs.google.com/spreadsheets/d/1-uDff_7J0KD5mKrp0Vvzr7lt3OU09vwQwhkpOPPYv2Y/edit?usp=sharing"",""งบพรบ!BV79"")"),0)</f>
        <v>0</v>
      </c>
      <c r="N144" s="48">
        <f ca="1">IFERROR(__xludf.DUMMYFUNCTION("IMPORTRANGE(""https://docs.google.com/spreadsheets/d/1-uDff_7J0KD5mKrp0Vvzr7lt3OU09vwQwhkpOPPYv2Y/edit?usp=sharing"",""งบพรบ!BX79"")"),0)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hidden="1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hidden="1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IFERROR(__xludf.DUMMYFUNCTION("IMPORTRANGE(""https://docs.google.com/spreadsheets/d/1-uDff_7J0KD5mKrp0Vvzr7lt3OU09vwQwhkpOPPYv2Y/edit?usp=sharing"",""งบพรบ!BT79"")"),0)</f>
        <v>0</v>
      </c>
      <c r="M147" s="48">
        <f ca="1">IFERROR(__xludf.DUMMYFUNCTION("IMPORTRANGE(""https://docs.google.com/spreadsheets/d/1-uDff_7J0KD5mKrp0Vvzr7lt3OU09vwQwhkpOPPYv2Y/edit?usp=sharing"",""งบพรบ!BW79"")"),0)</f>
        <v>0</v>
      </c>
      <c r="N147" s="48">
        <f ca="1">IFERROR(__xludf.DUMMYFUNCTION("IMPORTRANGE(""https://docs.google.com/spreadsheets/d/1-uDff_7J0KD5mKrp0Vvzr7lt3OU09vwQwhkpOPPYv2Y/edit?usp=sharing"",""งบพรบ!BY79"")"),0)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hidden="1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hidden="1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hidden="1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IFERROR(__xludf.DUMMYFUNCTION("IMPORTRANGE(""https://docs.google.com/spreadsheets/d/1eHaY18a8A9IcSdp1K8H6x8fbOy06t2VsZHhMHf-1x7Y/edit?usp=sharing"",""แผน!U79"")"),0)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hidden="1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IFERROR(__xludf.DUMMYFUNCTION("IMPORTRANGE(""https://docs.google.com/spreadsheets/d/1eHaY18a8A9IcSdp1K8H6x8fbOy06t2VsZHhMHf-1x7Y/edit?usp=sharing"",""แผน!V79"")"),0)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hidden="1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IFERROR(__xludf.DUMMYFUNCTION("IMPORTRANGE(""https://docs.google.com/spreadsheets/d/1eHaY18a8A9IcSdp1K8H6x8fbOy06t2VsZHhMHf-1x7Y/edit?usp=sharing"",""แผน!W79"")"),0)</f>
        <v>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hidden="1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IFERROR(__xludf.DUMMYFUNCTION("IMPORTRANGE(""https://docs.google.com/spreadsheets/d/1eHaY18a8A9IcSdp1K8H6x8fbOy06t2VsZHhMHf-1x7Y/edit?usp=sharing"",""แผน!X79"")"),0)</f>
        <v>0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hidden="1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IFERROR(__xludf.DUMMYFUNCTION("IMPORTRANGE(""https://docs.google.com/spreadsheets/d/1eHaY18a8A9IcSdp1K8H6x8fbOy06t2VsZHhMHf-1x7Y/edit?usp=sharing"",""แผน!Y79"")"),0)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IFERROR(__xludf.DUMMYFUNCTION("IMPORTRANGE(""https://docs.google.com/spreadsheets/d/1-uDff_7J0KD5mKrp0Vvzr7lt3OU09vwQwhkpOPPYv2Y/edit?usp=sharing"",""งบพรบ!CA79"")"),0)</f>
        <v>0</v>
      </c>
      <c r="M162" s="48">
        <f ca="1">IFERROR(__xludf.DUMMYFUNCTION("IMPORTRANGE(""https://docs.google.com/spreadsheets/d/1-uDff_7J0KD5mKrp0Vvzr7lt3OU09vwQwhkpOPPYv2Y/edit?usp=sharing"",""งบพรบ!CF79"")"),0)</f>
        <v>0</v>
      </c>
      <c r="N162" s="48">
        <f ca="1">IFERROR(__xludf.DUMMYFUNCTION("IMPORTRANGE(""https://docs.google.com/spreadsheets/d/1-uDff_7J0KD5mKrp0Vvzr7lt3OU09vwQwhkpOPPYv2Y/edit?usp=sharing"",""งบพรบ!CH79"")"),0)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IFERROR(__xludf.DUMMYFUNCTION("IMPORTRANGE(""https://docs.google.com/spreadsheets/d/1-uDff_7J0KD5mKrp0Vvzr7lt3OU09vwQwhkpOPPYv2Y/edit?usp=sharing"",""งบพรบ!CD79"")"),0)</f>
        <v>0</v>
      </c>
      <c r="M165" s="48">
        <f ca="1">IFERROR(__xludf.DUMMYFUNCTION("IMPORTRANGE(""https://docs.google.com/spreadsheets/d/1-uDff_7J0KD5mKrp0Vvzr7lt3OU09vwQwhkpOPPYv2Y/edit?usp=sharing"",""งบพรบ!CG79"")"),0)</f>
        <v>0</v>
      </c>
      <c r="N165" s="48">
        <f ca="1">IFERROR(__xludf.DUMMYFUNCTION("IMPORTRANGE(""https://docs.google.com/spreadsheets/d/1-uDff_7J0KD5mKrp0Vvzr7lt3OU09vwQwhkpOPPYv2Y/edit?usp=sharing"",""งบพรบ!CI79"")"),0)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IFERROR(__xludf.DUMMYFUNCTION("IMPORTRANGE(""https://docs.google.com/spreadsheets/d/1eHaY18a8A9IcSdp1K8H6x8fbOy06t2VsZHhMHf-1x7Y/edit?usp=sharing"",""แผน!Z79"")"),0)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IFERROR(__xludf.DUMMYFUNCTION("IMPORTRANGE(""https://docs.google.com/spreadsheets/d/1eHaY18a8A9IcSdp1K8H6x8fbOy06t2VsZHhMHf-1x7Y/edit?usp=sharing"",""แผน!Z79"")"),0)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IFERROR(__xludf.DUMMYFUNCTION("IMPORTRANGE(""https://docs.google.com/spreadsheets/d/1eHaY18a8A9IcSdp1K8H6x8fbOy06t2VsZHhMHf-1x7Y/edit?usp=sharing"",""แผน!Z79"")"),0)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7</v>
      </c>
      <c r="K172" s="226">
        <f ca="1">IF(I172&gt;0,J172*100/I172,0)</f>
        <v>100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19590</v>
      </c>
      <c r="O173" s="141">
        <f ca="1">IF(L173&gt;0,N173*100/L173,0)</f>
        <v>100</v>
      </c>
      <c r="P173" s="141">
        <f ca="1">IF(M173&gt;0,N173*100/M173,0)</f>
        <v>100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19590</v>
      </c>
      <c r="O175" s="48">
        <f ca="1">IF(L175&gt;0,N175*100/L175,0)</f>
        <v>100</v>
      </c>
      <c r="P175" s="48">
        <f ca="1">IF(M175&gt;0,N175*100/M175,0)</f>
        <v>100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19590</v>
      </c>
      <c r="O176" s="48">
        <f ca="1">IF(L176&gt;0,N176*100/L176,0)</f>
        <v>100</v>
      </c>
      <c r="P176" s="48">
        <f ca="1">IF(M176&gt;0,N176*100/M176,0)</f>
        <v>100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IFERROR(__xludf.DUMMYFUNCTION("IMPORTRANGE(""https://docs.google.com/spreadsheets/d/1-uDff_7J0KD5mKrp0Vvzr7lt3OU09vwQwhkpOPPYv2Y/edit?usp=sharing"",""งบพรบ!CK79"")"),19590)</f>
        <v>19590</v>
      </c>
      <c r="M178" s="48">
        <f ca="1">IFERROR(__xludf.DUMMYFUNCTION("IMPORTRANGE(""https://docs.google.com/spreadsheets/d/1-uDff_7J0KD5mKrp0Vvzr7lt3OU09vwQwhkpOPPYv2Y/edit?usp=sharing"",""งบพรบ!CP79"")"),19590)</f>
        <v>19590</v>
      </c>
      <c r="N178" s="48">
        <f ca="1">IFERROR(__xludf.DUMMYFUNCTION("IMPORTRANGE(""https://docs.google.com/spreadsheets/d/1-uDff_7J0KD5mKrp0Vvzr7lt3OU09vwQwhkpOPPYv2Y/edit?usp=sharing"",""งบพรบ!CR79"")"),19590)</f>
        <v>19590</v>
      </c>
      <c r="O178" s="48">
        <f ca="1">IF(L178&gt;0,N178*100/L178,0)</f>
        <v>100</v>
      </c>
      <c r="P178" s="48">
        <f ca="1">IF(M178&gt;0,N178*100/M178,0)</f>
        <v>100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IFERROR(__xludf.DUMMYFUNCTION("IMPORTRANGE(""https://docs.google.com/spreadsheets/d/1-uDff_7J0KD5mKrp0Vvzr7lt3OU09vwQwhkpOPPYv2Y/edit?usp=sharing"",""งบพรบ!CN79"")"),0)</f>
        <v>0</v>
      </c>
      <c r="M181" s="48">
        <f ca="1">IFERROR(__xludf.DUMMYFUNCTION("IMPORTRANGE(""https://docs.google.com/spreadsheets/d/1-uDff_7J0KD5mKrp0Vvzr7lt3OU09vwQwhkpOPPYv2Y/edit?usp=sharing"",""งบพรบ!CQ79"")"),0)</f>
        <v>0</v>
      </c>
      <c r="N181" s="48">
        <f ca="1">IFERROR(__xludf.DUMMYFUNCTION("IMPORTRANGE(""https://docs.google.com/spreadsheets/d/1-uDff_7J0KD5mKrp0Vvzr7lt3OU09vwQwhkpOPPYv2Y/edit?usp=sharing"",""งบพรบ!CS79"")"),0)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IFERROR(__xludf.DUMMYFUNCTION("IMPORTRANGE(""https://docs.google.com/spreadsheets/d/1eHaY18a8A9IcSdp1K8H6x8fbOy06t2VsZHhMHf-1x7Y/edit?usp=sharing"",""แผน!AA79"")"),7)</f>
        <v>7</v>
      </c>
      <c r="J183" s="163">
        <v>7</v>
      </c>
      <c r="K183" s="48">
        <f ca="1">IF(I183&gt;0,J183*100/I183,0)</f>
        <v>100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89900</v>
      </c>
      <c r="M186" s="141">
        <f ca="1">M187+M188</f>
        <v>61500</v>
      </c>
      <c r="N186" s="141">
        <f ca="1">N187+N188</f>
        <v>13600</v>
      </c>
      <c r="O186" s="141">
        <f ca="1">IF(L186&gt;0,N186*100/L186,0)</f>
        <v>15.127919911012237</v>
      </c>
      <c r="P186" s="141">
        <f ca="1">IF(M186&gt;0,N186*100/M186,0)</f>
        <v>22.113821138211382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89900</v>
      </c>
      <c r="M188" s="48">
        <f ca="1">M191+M194</f>
        <v>61500</v>
      </c>
      <c r="N188" s="48">
        <f ca="1">N191+N194</f>
        <v>13600</v>
      </c>
      <c r="O188" s="48">
        <f ca="1">IF(L188&gt;0,N188*100/L188,0)</f>
        <v>15.127919911012237</v>
      </c>
      <c r="P188" s="48">
        <f ca="1">IF(M188&gt;0,N188*100/M188,0)</f>
        <v>22.113821138211382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89900</v>
      </c>
      <c r="M189" s="48">
        <f ca="1">M190+M191</f>
        <v>61500</v>
      </c>
      <c r="N189" s="48">
        <f ca="1">N190+N191</f>
        <v>13600</v>
      </c>
      <c r="O189" s="48">
        <f ca="1">IF(L189&gt;0,N189*100/L189,0)</f>
        <v>15.127919911012237</v>
      </c>
      <c r="P189" s="48">
        <f ca="1">IF(M189&gt;0,N189*100/M189,0)</f>
        <v>22.113821138211382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IFERROR(__xludf.DUMMYFUNCTION("IMPORTRANGE(""https://docs.google.com/spreadsheets/d/1-uDff_7J0KD5mKrp0Vvzr7lt3OU09vwQwhkpOPPYv2Y/edit?usp=sharing"",""งบพรบ!CU79"")"),89900)</f>
        <v>89900</v>
      </c>
      <c r="M191" s="48">
        <f ca="1">IFERROR(__xludf.DUMMYFUNCTION("IMPORTRANGE(""https://docs.google.com/spreadsheets/d/1-uDff_7J0KD5mKrp0Vvzr7lt3OU09vwQwhkpOPPYv2Y/edit?usp=sharing"",""งบพรบ!CZ79"")"),61500)</f>
        <v>61500</v>
      </c>
      <c r="N191" s="48">
        <f ca="1">IFERROR(__xludf.DUMMYFUNCTION("IMPORTRANGE(""https://docs.google.com/spreadsheets/d/1-uDff_7J0KD5mKrp0Vvzr7lt3OU09vwQwhkpOPPYv2Y/edit?usp=sharing"",""งบพรบ!DB79"")"),13600)</f>
        <v>13600</v>
      </c>
      <c r="O191" s="48">
        <f ca="1">IF(L191&gt;0,N191*100/L191,0)</f>
        <v>15.127919911012237</v>
      </c>
      <c r="P191" s="48">
        <f ca="1">IF(M191&gt;0,N191*100/M191,0)</f>
        <v>22.113821138211382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IFERROR(__xludf.DUMMYFUNCTION("IMPORTRANGE(""https://docs.google.com/spreadsheets/d/1-uDff_7J0KD5mKrp0Vvzr7lt3OU09vwQwhkpOPPYv2Y/edit?usp=sharing"",""งบพรบ!CX79"")"),0)</f>
        <v>0</v>
      </c>
      <c r="M194" s="48">
        <f ca="1">IFERROR(__xludf.DUMMYFUNCTION("IMPORTRANGE(""https://docs.google.com/spreadsheets/d/1-uDff_7J0KD5mKrp0Vvzr7lt3OU09vwQwhkpOPPYv2Y/edit?usp=sharing"",""งบพรบ!DA79"")"),0)</f>
        <v>0</v>
      </c>
      <c r="N194" s="48">
        <f ca="1">IFERROR(__xludf.DUMMYFUNCTION("IMPORTRANGE(""https://docs.google.com/spreadsheets/d/1-uDff_7J0KD5mKrp0Vvzr7lt3OU09vwQwhkpOPPYv2Y/edit?usp=sharing"",""งบพรบ!DC79"")"),0)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IFERROR(__xludf.DUMMYFUNCTION("IMPORTRANGE(""https://docs.google.com/spreadsheets/d/1eHaY18a8A9IcSdp1K8H6x8fbOy06t2VsZHhMHf-1x7Y/edit?usp=sharing"",""แผน!AB79"")"),6000)</f>
        <v>6000</v>
      </c>
      <c r="M196" s="47"/>
      <c r="N196" s="245">
        <v>1800</v>
      </c>
      <c r="O196" s="141">
        <f ca="1">IF(L196&gt;0,N196*100/L196,0)</f>
        <v>30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IFERROR(__xludf.DUMMYFUNCTION("IMPORTRANGE(""https://docs.google.com/spreadsheets/d/1eHaY18a8A9IcSdp1K8H6x8fbOy06t2VsZHhMHf-1x7Y/edit?usp=sharing"",""แผน!AE79"")"),4)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hidden="1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0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hidden="1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hidden="1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IFERROR(__xludf.DUMMYFUNCTION("IMPORTRANGE(""https://docs.google.com/spreadsheets/d/1eHaY18a8A9IcSdp1K8H6x8fbOy06t2VsZHhMHf-1x7Y/edit?usp=sharing"",""แผน!AG79"")"),0)</f>
        <v>0</v>
      </c>
      <c r="M204" s="47"/>
      <c r="N204" s="249">
        <v>0</v>
      </c>
      <c r="O204" s="146"/>
      <c r="P204" s="47"/>
    </row>
    <row r="205" spans="1:16" ht="18.75" hidden="1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IFERROR(__xludf.DUMMYFUNCTION("IMPORTRANGE(""https://docs.google.com/spreadsheets/d/1eHaY18a8A9IcSdp1K8H6x8fbOy06t2VsZHhMHf-1x7Y/edit?usp=sharing"",""แผน!AH79"")"),0)</f>
        <v>0</v>
      </c>
      <c r="M205" s="47"/>
      <c r="N205" s="249">
        <v>0</v>
      </c>
      <c r="O205" s="146"/>
      <c r="P205" s="47"/>
    </row>
    <row r="206" spans="1:16" ht="18.75" hidden="1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IFERROR(__xludf.DUMMYFUNCTION("IMPORTRANGE(""https://docs.google.com/spreadsheets/d/1eHaY18a8A9IcSdp1K8H6x8fbOy06t2VsZHhMHf-1x7Y/edit?usp=sharing"",""แผน!AI79"")"),0)</f>
        <v>0</v>
      </c>
      <c r="M206" s="47"/>
      <c r="N206" s="249">
        <v>0</v>
      </c>
      <c r="O206" s="146"/>
      <c r="P206" s="47"/>
    </row>
    <row r="207" spans="1:16" ht="18.75" hidden="1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IFERROR(__xludf.DUMMYFUNCTION("IMPORTRANGE(""https://docs.google.com/spreadsheets/d/1eHaY18a8A9IcSdp1K8H6x8fbOy06t2VsZHhMHf-1x7Y/edit?usp=sharing"",""แผน!AJ79"")"),0)</f>
        <v>0</v>
      </c>
      <c r="M207" s="47"/>
      <c r="N207" s="249">
        <v>0</v>
      </c>
      <c r="O207" s="146"/>
      <c r="P207" s="47"/>
    </row>
    <row r="208" spans="1:16" ht="19.5" hidden="1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hidden="1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IFERROR(__xludf.DUMMYFUNCTION("IMPORTRANGE(""https://docs.google.com/spreadsheets/d/1eHaY18a8A9IcSdp1K8H6x8fbOy06t2VsZHhMHf-1x7Y/edit?usp=sharing"",""แผน!AK79"")"),0)</f>
        <v>0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hidden="1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hidden="1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IFERROR(__xludf.DUMMYFUNCTION("IMPORTRANGE(""https://docs.google.com/spreadsheets/d/1eHaY18a8A9IcSdp1K8H6x8fbOy06t2VsZHhMHf-1x7Y/edit?usp=sharing"",""แผน!AK79"")"),0)</f>
        <v>0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hidden="1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IFERROR(__xludf.DUMMYFUNCTION("IMPORTRANGE(""https://docs.google.com/spreadsheets/d/1eHaY18a8A9IcSdp1K8H6x8fbOy06t2VsZHhMHf-1x7Y/edit?usp=sharing"",""แผน!AK79"")"),0)</f>
        <v>0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IFERROR(__xludf.DUMMYFUNCTION("IMPORTRANGE(""https://docs.google.com/spreadsheets/d/1eHaY18a8A9IcSdp1K8H6x8fbOy06t2VsZHhMHf-1x7Y/edit?usp=sharing"",""แผน!AM79"")"),0)</f>
        <v>0</v>
      </c>
      <c r="M215" s="47"/>
      <c r="N215" s="249">
        <v>0</v>
      </c>
      <c r="O215" s="146"/>
      <c r="P215" s="47"/>
    </row>
    <row r="216" spans="1:16" ht="18.75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IFERROR(__xludf.DUMMYFUNCTION("IMPORTRANGE(""https://docs.google.com/spreadsheets/d/1eHaY18a8A9IcSdp1K8H6x8fbOy06t2VsZHhMHf-1x7Y/edit?usp=sharing"",""แผน!AN79"")"),0)</f>
        <v>0</v>
      </c>
      <c r="M216" s="47"/>
      <c r="N216" s="249">
        <v>0</v>
      </c>
      <c r="O216" s="146"/>
      <c r="P216" s="47"/>
    </row>
    <row r="217" spans="1:16" ht="18.75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IFERROR(__xludf.DUMMYFUNCTION("IMPORTRANGE(""https://docs.google.com/spreadsheets/d/1eHaY18a8A9IcSdp1K8H6x8fbOy06t2VsZHhMHf-1x7Y/edit?usp=sharing"",""แผน!AO79"")"),0)</f>
        <v>0</v>
      </c>
      <c r="M217" s="47"/>
      <c r="N217" s="249">
        <v>0</v>
      </c>
      <c r="O217" s="146"/>
      <c r="P217" s="47"/>
    </row>
    <row r="218" spans="1:16" ht="19.5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IFERROR(__xludf.DUMMYFUNCTION("IMPORTRANGE(""https://docs.google.com/spreadsheets/d/1eHaY18a8A9IcSdp1K8H6x8fbOy06t2VsZHhMHf-1x7Y/edit?usp=sharing"",""แผน!AP79"")"),0)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IFERROR(__xludf.DUMMYFUNCTION("IMPORTRANGE(""https://docs.google.com/spreadsheets/d/1eHaY18a8A9IcSdp1K8H6x8fbOy06t2VsZHhMHf-1x7Y/edit?usp=sharing"",""แผน!AP79"")"),0)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10000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IFERROR(__xludf.DUMMYFUNCTION("IMPORTRANGE(""https://docs.google.com/spreadsheets/d/1eHaY18a8A9IcSdp1K8H6x8fbOy06t2VsZHhMHf-1x7Y/edit?usp=sharing"",""แผน!AR79"")"),3000)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IFERROR(__xludf.DUMMYFUNCTION("IMPORTRANGE(""https://docs.google.com/spreadsheets/d/1eHaY18a8A9IcSdp1K8H6x8fbOy06t2VsZHhMHf-1x7Y/edit?usp=sharing"",""แผน!AS79"")"),1500)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IFERROR(__xludf.DUMMYFUNCTION("IMPORTRANGE(""https://docs.google.com/spreadsheets/d/1eHaY18a8A9IcSdp1K8H6x8fbOy06t2VsZHhMHf-1x7Y/edit?usp=sharing"",""แผน!AT79"")"),0)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IFERROR(__xludf.DUMMYFUNCTION("IMPORTRANGE(""https://docs.google.com/spreadsheets/d/1eHaY18a8A9IcSdp1K8H6x8fbOy06t2VsZHhMHf-1x7Y/edit?usp=sharing"",""แผน!AV79"")"),10000)</f>
        <v>10000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IFERROR(__xludf.DUMMYFUNCTION("IMPORTRANGE(""https://docs.google.com/spreadsheets/d/1eHaY18a8A9IcSdp1K8H6x8fbOy06t2VsZHhMHf-1x7Y/edit?usp=sharing"",""แผน!AV79"")"),10000)</f>
        <v>10000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IFERROR(__xludf.DUMMYFUNCTION("IMPORTRANGE(""https://docs.google.com/spreadsheets/d/1eHaY18a8A9IcSdp1K8H6x8fbOy06t2VsZHhMHf-1x7Y/edit?usp=sharing"",""แผน!AU79"")"),0)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IFERROR(__xludf.DUMMYFUNCTION("IMPORTRANGE(""https://docs.google.com/spreadsheets/d/1eHaY18a8A9IcSdp1K8H6x8fbOy06t2VsZHhMHf-1x7Y/edit?usp=sharing"",""แผน!AX79"")"),0)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IFERROR(__xludf.DUMMYFUNCTION("IMPORTRANGE(""https://docs.google.com/spreadsheets/d/1eHaY18a8A9IcSdp1K8H6x8fbOy06t2VsZHhMHf-1x7Y/edit?usp=sharing"",""แผน!AY79"")"),0)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IFERROR(__xludf.DUMMYFUNCTION("IMPORTRANGE(""https://docs.google.com/spreadsheets/d/1eHaY18a8A9IcSdp1K8H6x8fbOy06t2VsZHhMHf-1x7Y/edit?usp=sharing"",""แผน!AZ79"")"),0)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IFERROR(__xludf.DUMMYFUNCTION("IMPORTRANGE(""https://docs.google.com/spreadsheets/d/1eHaY18a8A9IcSdp1K8H6x8fbOy06t2VsZHhMHf-1x7Y/edit?usp=sharing"",""แผน!BA79"")"),0)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IFERROR(__xludf.DUMMYFUNCTION("IMPORTRANGE(""https://docs.google.com/spreadsheets/d/1eHaY18a8A9IcSdp1K8H6x8fbOy06t2VsZHhMHf-1x7Y/edit?usp=sharing"",""แผน!BG79"")"),0)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IFERROR(__xludf.DUMMYFUNCTION("IMPORTRANGE(""https://docs.google.com/spreadsheets/d/1eHaY18a8A9IcSdp1K8H6x8fbOy06t2VsZHhMHf-1x7Y/edit?usp=sharing"",""แผน!BB79"")"),0)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IFERROR(__xludf.DUMMYFUNCTION("IMPORTRANGE(""https://docs.google.com/spreadsheets/d/1eHaY18a8A9IcSdp1K8H6x8fbOy06t2VsZHhMHf-1x7Y/edit?usp=sharing"",""แผน!BC79"")"),0)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IFERROR(__xludf.DUMMYFUNCTION("IMPORTRANGE(""https://docs.google.com/spreadsheets/d/1eHaY18a8A9IcSdp1K8H6x8fbOy06t2VsZHhMHf-1x7Y/edit?usp=sharing"",""แผน!BD79"")"),0)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IFERROR(__xludf.DUMMYFUNCTION("IMPORTRANGE(""https://docs.google.com/spreadsheets/d/1eHaY18a8A9IcSdp1K8H6x8fbOy06t2VsZHhMHf-1x7Y/edit?usp=sharing"",""แผน!BE79"")"),0)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IFERROR(__xludf.DUMMYFUNCTION("IMPORTRANGE(""https://docs.google.com/spreadsheets/d/1eHaY18a8A9IcSdp1K8H6x8fbOy06t2VsZHhMHf-1x7Y/edit?usp=sharing"",""แผน!BH79"")"),0)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IFERROR(__xludf.DUMMYFUNCTION("IMPORTRANGE(""https://docs.google.com/spreadsheets/d/1-uDff_7J0KD5mKrp0Vvzr7lt3OU09vwQwhkpOPPYv2Y/edit?usp=sharing"",""งบพรบ!DE79"")"),0)</f>
        <v>0</v>
      </c>
      <c r="M271" s="51">
        <f ca="1">IFERROR(__xludf.DUMMYFUNCTION("IMPORTRANGE(""https://docs.google.com/spreadsheets/d/1-uDff_7J0KD5mKrp0Vvzr7lt3OU09vwQwhkpOPPYv2Y/edit?usp=sharing"",""งบพรบ!DJ79"")"),0)</f>
        <v>0</v>
      </c>
      <c r="N271" s="51">
        <f ca="1">IFERROR(__xludf.DUMMYFUNCTION("IMPORTRANGE(""https://docs.google.com/spreadsheets/d/1-uDff_7J0KD5mKrp0Vvzr7lt3OU09vwQwhkpOPPYv2Y/edit?usp=sharing"",""งบพรบ!DL79"")"),0)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IFERROR(__xludf.DUMMYFUNCTION("IMPORTRANGE(""https://docs.google.com/spreadsheets/d/1-uDff_7J0KD5mKrp0Vvzr7lt3OU09vwQwhkpOPPYv2Y/edit?usp=sharing"",""งบพรบ!DH79"")"),0)</f>
        <v>0</v>
      </c>
      <c r="M274" s="51">
        <f ca="1">IFERROR(__xludf.DUMMYFUNCTION("IMPORTRANGE(""https://docs.google.com/spreadsheets/d/1-uDff_7J0KD5mKrp0Vvzr7lt3OU09vwQwhkpOPPYv2Y/edit?usp=sharing"",""งบพรบ!DK79"")"),0)</f>
        <v>0</v>
      </c>
      <c r="N274" s="51">
        <f ca="1">IFERROR(__xludf.DUMMYFUNCTION("IMPORTRANGE(""https://docs.google.com/spreadsheets/d/1-uDff_7J0KD5mKrp0Vvzr7lt3OU09vwQwhkpOPPYv2Y/edit?usp=sharing"",""งบพรบ!DM79"")"),0)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IFERROR(__xludf.DUMMYFUNCTION("IMPORTRANGE(""https://docs.google.com/spreadsheets/d/1-uDff_7J0KD5mKrp0Vvzr7lt3OU09vwQwhkpOPPYv2Y/edit?usp=sharing"",""งบพรบ!DO79"")"),0)</f>
        <v>0</v>
      </c>
      <c r="M287" s="48">
        <f ca="1">IFERROR(__xludf.DUMMYFUNCTION("IMPORTRANGE(""https://docs.google.com/spreadsheets/d/1-uDff_7J0KD5mKrp0Vvzr7lt3OU09vwQwhkpOPPYv2Y/edit?usp=sharing"",""งบพรบ!DT79"")"),0)</f>
        <v>0</v>
      </c>
      <c r="N287" s="48">
        <f ca="1">IFERROR(__xludf.DUMMYFUNCTION("IMPORTRANGE(""https://docs.google.com/spreadsheets/d/1-uDff_7J0KD5mKrp0Vvzr7lt3OU09vwQwhkpOPPYv2Y/edit?usp=sharing"",""งบพรบ!DV79"")"),0)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IFERROR(__xludf.DUMMYFUNCTION("IMPORTRANGE(""https://docs.google.com/spreadsheets/d/1-uDff_7J0KD5mKrp0Vvzr7lt3OU09vwQwhkpOPPYv2Y/edit?usp=sharing"",""งบพรบ!DR79"")"),0)</f>
        <v>0</v>
      </c>
      <c r="M290" s="48">
        <f ca="1">IFERROR(__xludf.DUMMYFUNCTION("IMPORTRANGE(""https://docs.google.com/spreadsheets/d/1-uDff_7J0KD5mKrp0Vvzr7lt3OU09vwQwhkpOPPYv2Y/edit?usp=sharing"",""งบพรบ!DU79"")"),0)</f>
        <v>0</v>
      </c>
      <c r="N290" s="48">
        <f ca="1">IFERROR(__xludf.DUMMYFUNCTION("IMPORTRANGE(""https://docs.google.com/spreadsheets/d/1-uDff_7J0KD5mKrp0Vvzr7lt3OU09vwQwhkpOPPYv2Y/edit?usp=sharing"",""งบพรบ!DW79"")"),0)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IFERROR(__xludf.DUMMYFUNCTION("IMPORTRANGE(""https://docs.google.com/spreadsheets/d/1eHaY18a8A9IcSdp1K8H6x8fbOy06t2VsZHhMHf-1x7Y/edit?usp=sharing"",""แผน!EE79"")"),0)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IFERROR(__xludf.DUMMYFUNCTION("IMPORTRANGE(""https://docs.google.com/spreadsheets/d/1eHaY18a8A9IcSdp1K8H6x8fbOy06t2VsZHhMHf-1x7Y/edit?usp=sharing"",""แผน!ED79"")"),0)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IFERROR(__xludf.DUMMYFUNCTION("IMPORTRANGE(""https://docs.google.com/spreadsheets/d/1eHaY18a8A9IcSdp1K8H6x8fbOy06t2VsZHhMHf-1x7Y/edit?usp=sharing"",""แผน!ED79"")"),0)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IFERROR(__xludf.DUMMYFUNCTION("IMPORTRANGE(""https://docs.google.com/spreadsheets/d/1eHaY18a8A9IcSdp1K8H6x8fbOy06t2VsZHhMHf-1x7Y/edit?usp=sharing"",""แผน!ED79"")"),0)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IFERROR(__xludf.DUMMYFUNCTION("IMPORTRANGE(""https://docs.google.com/spreadsheets/d/1-uDff_7J0KD5mKrp0Vvzr7lt3OU09vwQwhkpOPPYv2Y/edit?usp=sharing"",""งบพรบ!DY79"")"),0)</f>
        <v>0</v>
      </c>
      <c r="M308" s="48">
        <f ca="1">IFERROR(__xludf.DUMMYFUNCTION("IMPORTRANGE(""https://docs.google.com/spreadsheets/d/1-uDff_7J0KD5mKrp0Vvzr7lt3OU09vwQwhkpOPPYv2Y/edit?usp=sharing"",""งบพรบ!ED79"")"),0)</f>
        <v>0</v>
      </c>
      <c r="N308" s="48">
        <f ca="1">IFERROR(__xludf.DUMMYFUNCTION("IMPORTRANGE(""https://docs.google.com/spreadsheets/d/1-uDff_7J0KD5mKrp0Vvzr7lt3OU09vwQwhkpOPPYv2Y/edit?usp=sharing"",""งบพรบ!EF79"")"),0)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IFERROR(__xludf.DUMMYFUNCTION("IMPORTRANGE(""https://docs.google.com/spreadsheets/d/1-uDff_7J0KD5mKrp0Vvzr7lt3OU09vwQwhkpOPPYv2Y/edit?usp=sharing"",""งบพรบ!EB79"")"),0)</f>
        <v>0</v>
      </c>
      <c r="M311" s="48">
        <f ca="1">IFERROR(__xludf.DUMMYFUNCTION("IMPORTRANGE(""https://docs.google.com/spreadsheets/d/1-uDff_7J0KD5mKrp0Vvzr7lt3OU09vwQwhkpOPPYv2Y/edit?usp=sharing"",""งบพรบ!EE79"")"),0)</f>
        <v>0</v>
      </c>
      <c r="N311" s="48">
        <f ca="1">IFERROR(__xludf.DUMMYFUNCTION("IMPORTRANGE(""https://docs.google.com/spreadsheets/d/1-uDff_7J0KD5mKrp0Vvzr7lt3OU09vwQwhkpOPPYv2Y/edit?usp=sharing"",""งบพรบ!EG79"")"),0)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IFERROR(__xludf.DUMMYFUNCTION("IMPORTRANGE(""https://docs.google.com/spreadsheets/d/1eHaY18a8A9IcSdp1K8H6x8fbOy06t2VsZHhMHf-1x7Y/edit?usp=sharing"",""แผน!EF79"")"),0)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IFERROR(__xludf.DUMMYFUNCTION("IMPORTRANGE(""https://docs.google.com/spreadsheets/d/1eHaY18a8A9IcSdp1K8H6x8fbOy06t2VsZHhMHf-1x7Y/edit?usp=sharing"",""แผน!EG79"")"),0)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IFERROR(__xludf.DUMMYFUNCTION("IMPORTRANGE(""https://docs.google.com/spreadsheets/d/1eHaY18a8A9IcSdp1K8H6x8fbOy06t2VsZHhMHf-1x7Y/edit?usp=sharing"",""แผน!EH79"")"),0)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IFERROR(__xludf.DUMMYFUNCTION("IMPORTRANGE(""https://docs.google.com/spreadsheets/d/1eHaY18a8A9IcSdp1K8H6x8fbOy06t2VsZHhMHf-1x7Y/edit?usp=sharing"",""แผน!EI79"")"),0)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hidden="1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IFERROR(__xludf.DUMMYFUNCTION("IMPORTRANGE(""https://docs.google.com/spreadsheets/d/1-uDff_7J0KD5mKrp0Vvzr7lt3OU09vwQwhkpOPPYv2Y/edit?usp=sharing"",""งบพรบ!EI79"")"),0)</f>
        <v>0</v>
      </c>
      <c r="M325" s="48">
        <f ca="1">IFERROR(__xludf.DUMMYFUNCTION("IMPORTRANGE(""https://docs.google.com/spreadsheets/d/1-uDff_7J0KD5mKrp0Vvzr7lt3OU09vwQwhkpOPPYv2Y/edit?usp=sharing"",""งบพรบ!EN79"")"),0)</f>
        <v>0</v>
      </c>
      <c r="N325" s="48">
        <f ca="1">IFERROR(__xludf.DUMMYFUNCTION("IMPORTRANGE(""https://docs.google.com/spreadsheets/d/1-uDff_7J0KD5mKrp0Vvzr7lt3OU09vwQwhkpOPPYv2Y/edit?usp=sharing"",""งบพรบ!EP79"")"),0)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IFERROR(__xludf.DUMMYFUNCTION("IMPORTRANGE(""https://docs.google.com/spreadsheets/d/1-uDff_7J0KD5mKrp0Vvzr7lt3OU09vwQwhkpOPPYv2Y/edit?usp=sharing"",""งบพรบ!EL79"")"),0)</f>
        <v>0</v>
      </c>
      <c r="M328" s="48">
        <f ca="1">IFERROR(__xludf.DUMMYFUNCTION("IMPORTRANGE(""https://docs.google.com/spreadsheets/d/1-uDff_7J0KD5mKrp0Vvzr7lt3OU09vwQwhkpOPPYv2Y/edit?usp=sharing"",""งบพรบ!EO79"")"),0)</f>
        <v>0</v>
      </c>
      <c r="N328" s="48">
        <f ca="1">IFERROR(__xludf.DUMMYFUNCTION("IMPORTRANGE(""https://docs.google.com/spreadsheets/d/1-uDff_7J0KD5mKrp0Vvzr7lt3OU09vwQwhkpOPPYv2Y/edit?usp=sharing"",""งบพรบ!EQ79"")"),0)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IFERROR(__xludf.DUMMYFUNCTION("IMPORTRANGE(""https://docs.google.com/spreadsheets/d/1eHaY18a8A9IcSdp1K8H6x8fbOy06t2VsZHhMHf-1x7Y/edit?usp=sharing"",""แผน!EJ79"")"),0)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200</v>
      </c>
      <c r="J332" s="352">
        <f ca="1">J344+J347+J348+J349+J353</f>
        <v>251</v>
      </c>
      <c r="K332" s="353">
        <f ca="1">IF(I332&gt;0,J332*100/I332,0)</f>
        <v>125.5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165500</v>
      </c>
      <c r="M333" s="141">
        <f ca="1">M334+M335</f>
        <v>126850</v>
      </c>
      <c r="N333" s="141">
        <f ca="1">N334+N335</f>
        <v>39278</v>
      </c>
      <c r="O333" s="141">
        <f ca="1">IF(L333&gt;0,N333*100/L333,0)</f>
        <v>23.732930513595168</v>
      </c>
      <c r="P333" s="141">
        <f ca="1">IF(M333&gt;0,N333*100/M333,0)</f>
        <v>30.96413086322428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165500</v>
      </c>
      <c r="M335" s="48">
        <f ca="1">M338+M341</f>
        <v>126850</v>
      </c>
      <c r="N335" s="48">
        <f ca="1">N338+N341</f>
        <v>39278</v>
      </c>
      <c r="O335" s="48">
        <f ca="1">IF(L335&gt;0,N335*100/L335,0)</f>
        <v>23.732930513595168</v>
      </c>
      <c r="P335" s="48">
        <f ca="1">IF(M335&gt;0,N335*100/M335,0)</f>
        <v>30.96413086322428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165500</v>
      </c>
      <c r="M336" s="48">
        <f ca="1">M337+M338</f>
        <v>126850</v>
      </c>
      <c r="N336" s="48">
        <f ca="1">N337+N338</f>
        <v>39278</v>
      </c>
      <c r="O336" s="48">
        <f ca="1">IF(L336&gt;0,N336*100/L336,0)</f>
        <v>23.732930513595168</v>
      </c>
      <c r="P336" s="48">
        <f ca="1">IF(M336&gt;0,N336*100/M336,0)</f>
        <v>30.96413086322428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IFERROR(__xludf.DUMMYFUNCTION("IMPORTRANGE(""https://docs.google.com/spreadsheets/d/1-uDff_7J0KD5mKrp0Vvzr7lt3OU09vwQwhkpOPPYv2Y/edit?usp=sharing"",""งบพรบ!ES79"")"),165500)</f>
        <v>165500</v>
      </c>
      <c r="M338" s="48">
        <f ca="1">IFERROR(__xludf.DUMMYFUNCTION("IMPORTRANGE(""https://docs.google.com/spreadsheets/d/1-uDff_7J0KD5mKrp0Vvzr7lt3OU09vwQwhkpOPPYv2Y/edit?usp=sharing"",""งบพรบ!EX79"")"),126850)</f>
        <v>126850</v>
      </c>
      <c r="N338" s="48">
        <f ca="1">IFERROR(__xludf.DUMMYFUNCTION("IMPORTRANGE(""https://docs.google.com/spreadsheets/d/1-uDff_7J0KD5mKrp0Vvzr7lt3OU09vwQwhkpOPPYv2Y/edit?usp=sharing"",""งบพรบ!EZ79"")"),39278)</f>
        <v>39278</v>
      </c>
      <c r="O338" s="48">
        <f ca="1">IF(L338&gt;0,N338*100/L338,0)</f>
        <v>23.732930513595168</v>
      </c>
      <c r="P338" s="48">
        <f ca="1">IF(M338&gt;0,N338*100/M338,0)</f>
        <v>30.96413086322428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IFERROR(__xludf.DUMMYFUNCTION("IMPORTRANGE(""https://docs.google.com/spreadsheets/d/1-uDff_7J0KD5mKrp0Vvzr7lt3OU09vwQwhkpOPPYv2Y/edit?usp=sharing"",""งบพรบ!EV79"")"),0)</f>
        <v>0</v>
      </c>
      <c r="M341" s="48">
        <f ca="1">IFERROR(__xludf.DUMMYFUNCTION("IMPORTRANGE(""https://docs.google.com/spreadsheets/d/1-uDff_7J0KD5mKrp0Vvzr7lt3OU09vwQwhkpOPPYv2Y/edit?usp=sharing"",""งบพรบ!EY79"")"),0)</f>
        <v>0</v>
      </c>
      <c r="N341" s="48">
        <f ca="1">IFERROR(__xludf.DUMMYFUNCTION("IMPORTRANGE(""https://docs.google.com/spreadsheets/d/1-uDff_7J0KD5mKrp0Vvzr7lt3OU09vwQwhkpOPPYv2Y/edit?usp=sharing"",""งบพรบ!FA79"")"),0)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164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IFERROR(__xludf.DUMMYFUNCTION("IMPORTRANGE(""https://docs.google.com/spreadsheets/d/1eHaY18a8A9IcSdp1K8H6x8fbOy06t2VsZHhMHf-1x7Y/edit?usp=sharing"",""แผน!EK79"")"),200)</f>
        <v>200</v>
      </c>
      <c r="J344" s="170">
        <f ca="1">IFERROR(__xludf.DUMMYFUNCTION("IMPORTRANGE(""https://docs.google.com/spreadsheets/d/1awYsYK3VOup2i3Pq_Yjnu8DRu_mYwSBnCR2QPthd0rU/edit?usp=sharing"",""ศูนย์ยกเว้นโฉนด!D79"")"),87)</f>
        <v>87</v>
      </c>
      <c r="K344" s="48">
        <f ca="1">IF(I344&gt;0,J344*100/I344,0)</f>
        <v>43.5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IFERROR(__xludf.DUMMYFUNCTION("IMPORTRANGE(""https://docs.google.com/spreadsheets/d/1eHaY18a8A9IcSdp1K8H6x8fbOy06t2VsZHhMHf-1x7Y/edit?usp=sharing"",""แผน!EL79"")"),1)</f>
        <v>1</v>
      </c>
      <c r="J346" s="170">
        <f ca="1">IFERROR(__xludf.DUMMYFUNCTION("IMPORTRANGE(""https://docs.google.com/spreadsheets/d/1awYsYK3VOup2i3Pq_Yjnu8DRu_mYwSBnCR2QPthd0rU/edit?usp=sharing"",""ศูนย์รวม!E79"")"),0)</f>
        <v>0</v>
      </c>
      <c r="K346" s="48">
        <f ca="1">IF(I346&gt;0,J346*100/I346,0)</f>
        <v>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IFERROR(__xludf.DUMMYFUNCTION("IMPORTRANGE(""https://docs.google.com/spreadsheets/d/1awYsYK3VOup2i3Pq_Yjnu8DRu_mYwSBnCR2QPthd0rU/edit?usp=sharing"",""ศูนย์ยกเว้นโฉนด!F79"")"),73)</f>
        <v>73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IFERROR(__xludf.DUMMYFUNCTION("IMPORTRANGE(""https://docs.google.com/spreadsheets/d/1awYsYK3VOup2i3Pq_Yjnu8DRu_mYwSBnCR2QPthd0rU/edit?usp=sharing"",""ศูนย์ยกเว้นโฉนด!G79"")"),4)</f>
        <v>4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IFERROR(__xludf.DUMMYFUNCTION("IMPORTRANGE(""https://docs.google.com/spreadsheets/d/1awYsYK3VOup2i3Pq_Yjnu8DRu_mYwSBnCR2QPthd0rU/edit?usp=sharing"",""ศูนย์ยกเว้นโฉนด!H79"")"),0)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87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IFERROR(__xludf.DUMMYFUNCTION("IMPORTRANGE(""https://docs.google.com/spreadsheets/d/1awYsYK3VOup2i3Pq_Yjnu8DRu_mYwSBnCR2QPthd0rU/edit?usp=sharing"",""โฉนดM3!G79"")"),0)</f>
        <v>0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IFERROR(__xludf.DUMMYFUNCTION("IMPORTRANGE(""https://docs.google.com/spreadsheets/d/1awYsYK3VOup2i3Pq_Yjnu8DRu_mYwSBnCR2QPthd0rU/edit?usp=sharing"",""โฉนดM3!H79"")"),87)</f>
        <v>87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278755</v>
      </c>
      <c r="M356" s="141">
        <f ca="1">M357+M358</f>
        <v>212155</v>
      </c>
      <c r="N356" s="141">
        <f ca="1">N357+N358</f>
        <v>40480</v>
      </c>
      <c r="O356" s="141">
        <f ca="1">IF(L356&gt;0,N356*100/L356,0)</f>
        <v>14.521712615020359</v>
      </c>
      <c r="P356" s="141">
        <f ca="1">IF(M356&gt;0,N356*100/M356,0)</f>
        <v>19.08038933798402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278755</v>
      </c>
      <c r="M358" s="48">
        <f ca="1">M361+M364</f>
        <v>212155</v>
      </c>
      <c r="N358" s="48">
        <f ca="1">N361+N364</f>
        <v>40480</v>
      </c>
      <c r="O358" s="48">
        <f ca="1">IF(L358&gt;0,N358*100/L358,0)</f>
        <v>14.521712615020359</v>
      </c>
      <c r="P358" s="48">
        <f ca="1">IF(M358&gt;0,N358*100/M358,0)</f>
        <v>19.08038933798402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278755</v>
      </c>
      <c r="M359" s="48">
        <f ca="1">M360+M361</f>
        <v>212155</v>
      </c>
      <c r="N359" s="48">
        <f ca="1">N360+N361</f>
        <v>40480</v>
      </c>
      <c r="O359" s="48">
        <f ca="1">IF(L359&gt;0,N359*100/L359,0)</f>
        <v>14.521712615020359</v>
      </c>
      <c r="P359" s="48">
        <f ca="1">IF(M359&gt;0,N359*100/M359,0)</f>
        <v>19.08038933798402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IFERROR(__xludf.DUMMYFUNCTION("IMPORTRANGE(""https://docs.google.com/spreadsheets/d/1-uDff_7J0KD5mKrp0Vvzr7lt3OU09vwQwhkpOPPYv2Y/edit?usp=sharing"",""งบพรบ!FC79"")"),278755)</f>
        <v>278755</v>
      </c>
      <c r="M361" s="48">
        <f ca="1">IFERROR(__xludf.DUMMYFUNCTION("IMPORTRANGE(""https://docs.google.com/spreadsheets/d/1-uDff_7J0KD5mKrp0Vvzr7lt3OU09vwQwhkpOPPYv2Y/edit?usp=sharing"",""งบพรบ!FH79"")"),212155)</f>
        <v>212155</v>
      </c>
      <c r="N361" s="48">
        <f ca="1">IFERROR(__xludf.DUMMYFUNCTION("IMPORTRANGE(""https://docs.google.com/spreadsheets/d/1-uDff_7J0KD5mKrp0Vvzr7lt3OU09vwQwhkpOPPYv2Y/edit?usp=sharing"",""งบพรบ!FJ79"")"),40480)</f>
        <v>40480</v>
      </c>
      <c r="O361" s="48">
        <f ca="1">IF(L361&gt;0,N361*100/L361,0)</f>
        <v>14.521712615020359</v>
      </c>
      <c r="P361" s="48">
        <f ca="1">IF(M361&gt;0,N361*100/M361,0)</f>
        <v>19.08038933798402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IFERROR(__xludf.DUMMYFUNCTION("IMPORTRANGE(""https://docs.google.com/spreadsheets/d/1-uDff_7J0KD5mKrp0Vvzr7lt3OU09vwQwhkpOPPYv2Y/edit?usp=sharing"",""งบพรบ!FF79"")"),0)</f>
        <v>0</v>
      </c>
      <c r="M364" s="48">
        <f ca="1">IFERROR(__xludf.DUMMYFUNCTION("IMPORTRANGE(""https://docs.google.com/spreadsheets/d/1-uDff_7J0KD5mKrp0Vvzr7lt3OU09vwQwhkpOPPYv2Y/edit?usp=sharing"",""งบพรบ!FI79"")"),0)</f>
        <v>0</v>
      </c>
      <c r="N364" s="48">
        <f ca="1">IFERROR(__xludf.DUMMYFUNCTION("IMPORTRANGE(""https://docs.google.com/spreadsheets/d/1-uDff_7J0KD5mKrp0Vvzr7lt3OU09vwQwhkpOPPYv2Y/edit?usp=sharing"",""งบพรบ!FK79"")"),0)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19</v>
      </c>
      <c r="J365" s="240">
        <f ca="1">J371</f>
        <v>0</v>
      </c>
      <c r="K365" s="241">
        <f ca="1">IF(I365&gt;0,J365*100/I365,0)</f>
        <v>0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IFERROR(__xludf.DUMMYFUNCTION("IMPORTRANGE(""https://docs.google.com/spreadsheets/d/1tdoBKaGub7dwA3U6UFTqxio9LNnvDCQjHKmttSEBsFQ/edit?usp=sharing"",""จัดที่ดิน!AB79"")"),0)</f>
        <v>0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IFERROR(__xludf.DUMMYFUNCTION("IMPORTRANGE(""https://docs.google.com/spreadsheets/d/1eHaY18a8A9IcSdp1K8H6x8fbOy06t2VsZHhMHf-1x7Y/edit?usp=sharing"",""แผน!EW79"")"),120)</f>
        <v>120</v>
      </c>
      <c r="J368" s="368">
        <f ca="1">IFERROR(__xludf.DUMMYFUNCTION("IMPORTRANGE(""https://docs.google.com/spreadsheets/d/1tdoBKaGub7dwA3U6UFTqxio9LNnvDCQjHKmttSEBsFQ/edit?usp=sharing"",""จัดที่ดิน!AC79"")"),0)</f>
        <v>0</v>
      </c>
      <c r="K368" s="48">
        <f ca="1">IF(I368&gt;0,J368*100/I368,0)</f>
        <v>0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IFERROR(__xludf.DUMMYFUNCTION("IMPORTRANGE(""https://docs.google.com/spreadsheets/d/1eHaY18a8A9IcSdp1K8H6x8fbOy06t2VsZHhMHf-1x7Y/edit?usp=sharing"",""แผน!EX79"")"),31)</f>
        <v>31</v>
      </c>
      <c r="J369" s="170">
        <f ca="1">IFERROR(__xludf.DUMMYFUNCTION("IMPORTRANGE(""https://docs.google.com/spreadsheets/d/1tdoBKaGub7dwA3U6UFTqxio9LNnvDCQjHKmttSEBsFQ/edit?usp=sharing"",""จัดที่ดิน!AD79"")"),0)</f>
        <v>0</v>
      </c>
      <c r="K369" s="48">
        <f ca="1">IF(I369&gt;0,J369*100/I369,0)</f>
        <v>0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IFERROR(__xludf.DUMMYFUNCTION("IMPORTRANGE(""https://docs.google.com/spreadsheets/d/1tdoBKaGub7dwA3U6UFTqxio9LNnvDCQjHKmttSEBsFQ/edit?usp=sharing"",""จัดที่ดิน!AE79"")"),0)</f>
        <v>0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IFERROR(__xludf.DUMMYFUNCTION("IMPORTRANGE(""https://docs.google.com/spreadsheets/d/1eHaY18a8A9IcSdp1K8H6x8fbOy06t2VsZHhMHf-1x7Y/edit?usp=sharing"",""แผน!EY79"")"),19)</f>
        <v>19</v>
      </c>
      <c r="J371" s="170">
        <f ca="1">IFERROR(__xludf.DUMMYFUNCTION("IMPORTRANGE(""https://docs.google.com/spreadsheets/d/1tdoBKaGub7dwA3U6UFTqxio9LNnvDCQjHKmttSEBsFQ/edit?usp=sharing"",""จัดที่ดิน!AF79"")"),0)</f>
        <v>0</v>
      </c>
      <c r="K371" s="48">
        <f ca="1">IF(I371&gt;0,J371*100/I371,0)</f>
        <v>0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IFERROR(__xludf.DUMMYFUNCTION("IMPORTRANGE(""https://docs.google.com/spreadsheets/d/1tdoBKaGub7dwA3U6UFTqxio9LNnvDCQjHKmttSEBsFQ/edit?usp=sharing"",""จัดที่ดิน!AG79"")"),0)</f>
        <v>0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IFERROR(__xludf.DUMMYFUNCTION("IMPORTRANGE(""https://docs.google.com/spreadsheets/d/1-uDff_7J0KD5mKrp0Vvzr7lt3OU09vwQwhkpOPPYv2Y/edit?usp=sharing"",""งบพรบ!FM79"")"),0)</f>
        <v>0</v>
      </c>
      <c r="M382" s="51">
        <f ca="1">IFERROR(__xludf.DUMMYFUNCTION("IMPORTRANGE(""https://docs.google.com/spreadsheets/d/1-uDff_7J0KD5mKrp0Vvzr7lt3OU09vwQwhkpOPPYv2Y/edit?usp=sharing"",""งบพรบ!FR79"")"),0)</f>
        <v>0</v>
      </c>
      <c r="N382" s="51">
        <f ca="1">IFERROR(__xludf.DUMMYFUNCTION("IMPORTRANGE(""https://docs.google.com/spreadsheets/d/1-uDff_7J0KD5mKrp0Vvzr7lt3OU09vwQwhkpOPPYv2Y/edit?usp=sharing"",""งบพรบ!FT79"")"),0)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IFERROR(__xludf.DUMMYFUNCTION("IMPORTRANGE(""https://docs.google.com/spreadsheets/d/1-uDff_7J0KD5mKrp0Vvzr7lt3OU09vwQwhkpOPPYv2Y/edit?usp=sharing"",""งบพรบ!FP79"")"),0)</f>
        <v>0</v>
      </c>
      <c r="M385" s="51">
        <f ca="1">IFERROR(__xludf.DUMMYFUNCTION("IMPORTRANGE(""https://docs.google.com/spreadsheets/d/1-uDff_7J0KD5mKrp0Vvzr7lt3OU09vwQwhkpOPPYv2Y/edit?usp=sharing"",""งบพรบ!FS79"")"),0)</f>
        <v>0</v>
      </c>
      <c r="N385" s="51">
        <f ca="1">IFERROR(__xludf.DUMMYFUNCTION("IMPORTRANGE(""https://docs.google.com/spreadsheets/d/1-uDff_7J0KD5mKrp0Vvzr7lt3OU09vwQwhkpOPPYv2Y/edit?usp=sharing"",""งบพรบ!FU79"")"),0)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4" orientation="portrait" r:id="rId1"/>
  <headerFooter>
    <oddFooter>&amp;Cหน้า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7DBE-71B2-4DBB-BCAB-C1EC6DF11447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1.28515625" bestFit="1" customWidth="1"/>
    <col min="11" max="11" width="12.28515625" bestFit="1" customWidth="1"/>
    <col min="12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159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1411717</v>
      </c>
      <c r="M18" s="34">
        <f ca="1">M19+M20</f>
        <v>1125501</v>
      </c>
      <c r="N18" s="34">
        <f ca="1">N19+N20</f>
        <v>372569</v>
      </c>
      <c r="O18" s="34">
        <f ca="1">IF(L18&gt;0,N18*100/L18,0)</f>
        <v>26.391195969163793</v>
      </c>
      <c r="P18" s="34">
        <f ca="1">IF(M18&gt;0,N18*100/M18,0)</f>
        <v>33.102502796532391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1411717</v>
      </c>
      <c r="M20" s="40">
        <f ca="1">M23+M26</f>
        <v>1125501</v>
      </c>
      <c r="N20" s="40">
        <f ca="1">N23+N26</f>
        <v>372569</v>
      </c>
      <c r="O20" s="40">
        <f ca="1">IF(L20&gt;0,N20*100/L20,0)</f>
        <v>26.391195969163793</v>
      </c>
      <c r="P20" s="40">
        <f ca="1">IF(M20&gt;0,N20*100/M20,0)</f>
        <v>33.102502796532391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1411717</v>
      </c>
      <c r="M21" s="48">
        <f ca="1">M22+M23</f>
        <v>1125501</v>
      </c>
      <c r="N21" s="48">
        <f ca="1">N22+N23</f>
        <v>372569</v>
      </c>
      <c r="O21" s="48">
        <f ca="1">IF(L21&gt;0,N21*100/L21,0)</f>
        <v>26.391195969163793</v>
      </c>
      <c r="P21" s="48">
        <f ca="1">IF(M21&gt;0,N21*100/M21,0)</f>
        <v>33.102502796532391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1411717</v>
      </c>
      <c r="M23" s="48">
        <f ca="1">M49+M64+M77+M99+M130+M144+M162+M191+M178+M271+M287+M308+M325+M338+M361+M382</f>
        <v>1125501</v>
      </c>
      <c r="N23" s="48">
        <f ca="1">N49+N64+N77+N99+N130+N144+N162+N191+N178+N271+N287+N308+N325+N338+N361+N382</f>
        <v>372569</v>
      </c>
      <c r="O23" s="48">
        <f ca="1">IF(L23&gt;0,N23*100/L23,0)</f>
        <v>26.391195969163793</v>
      </c>
      <c r="P23" s="48">
        <f ca="1">IF(M23&gt;0,N23*100/M23,0)</f>
        <v>33.102502796532391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1411717</v>
      </c>
      <c r="M40" s="65">
        <f ca="1">M44+M59+M72+M94+M125+M139+M157+M173+M186+M266+M282+M303+M320+M333+M356</f>
        <v>1125501</v>
      </c>
      <c r="N40" s="65">
        <f ca="1">N44+N59+N72+N94+N125+N139+N157+N173+N186+N266+N282+N303+N320+N333+N356</f>
        <v>372569</v>
      </c>
      <c r="O40" s="65">
        <f ca="1">IF(L40&gt;0,N40*100/L40,0)</f>
        <v>26.391195969163793</v>
      </c>
      <c r="P40" s="65">
        <f ca="1">IF(M40&gt;0,N40*100/M40,0)</f>
        <v>33.102502796532391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262457</v>
      </c>
      <c r="M44" s="84">
        <f ca="1">M45+M46</f>
        <v>262541</v>
      </c>
      <c r="N44" s="84">
        <f ca="1">N45+N46</f>
        <v>73838</v>
      </c>
      <c r="O44" s="84">
        <f ca="1">IF(L44&gt;0,N44*100/L44,0)</f>
        <v>28.13337041877336</v>
      </c>
      <c r="P44" s="84">
        <f ca="1">IF(M44&gt;0,N44*100/M44,0)</f>
        <v>28.124369146152411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262457</v>
      </c>
      <c r="M46" s="90">
        <f ca="1">M49+M52</f>
        <v>262541</v>
      </c>
      <c r="N46" s="90">
        <f ca="1">N49+N52</f>
        <v>73838</v>
      </c>
      <c r="O46" s="90">
        <f ca="1">IF(L46&gt;0,N46*100/L46,0)</f>
        <v>28.13337041877336</v>
      </c>
      <c r="P46" s="90">
        <f ca="1">IF(M46&gt;0,N46*100/M46,0)</f>
        <v>28.124369146152411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262457</v>
      </c>
      <c r="M47" s="48">
        <f ca="1">M48+M49</f>
        <v>262541</v>
      </c>
      <c r="N47" s="48">
        <f ca="1">N48+N49</f>
        <v>73838</v>
      </c>
      <c r="O47" s="48">
        <f ca="1">IF(L47&gt;0,N47*100/L47,0)</f>
        <v>28.13337041877336</v>
      </c>
      <c r="P47" s="48">
        <f ca="1">IF(M47&gt;0,N47*100/M47,0)</f>
        <v>28.124369146152411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IFERROR(__xludf.DUMMYFUNCTION("IMPORTRANGE(""https://docs.google.com/spreadsheets/d/1-uDff_7J0KD5mKrp0Vvzr7lt3OU09vwQwhkpOPPYv2Y/edit?usp=sharing"",""งบพรบ!P80"")"),262457)</f>
        <v>262457</v>
      </c>
      <c r="M49" s="48">
        <f ca="1">IFERROR(__xludf.DUMMYFUNCTION("IMPORTRANGE(""https://docs.google.com/spreadsheets/d/1-uDff_7J0KD5mKrp0Vvzr7lt3OU09vwQwhkpOPPYv2Y/edit?usp=sharing"",""งบพรบ!V80"")"),262541)</f>
        <v>262541</v>
      </c>
      <c r="N49" s="48">
        <f ca="1">IFERROR(__xludf.DUMMYFUNCTION("IMPORTRANGE(""https://docs.google.com/spreadsheets/d/1-uDff_7J0KD5mKrp0Vvzr7lt3OU09vwQwhkpOPPYv2Y/edit?usp=sharing"",""งบพรบ!Y80"")"),73838)</f>
        <v>73838</v>
      </c>
      <c r="O49" s="48">
        <f ca="1">IF(L49&gt;0,N49*100/L49,0)</f>
        <v>28.13337041877336</v>
      </c>
      <c r="P49" s="48">
        <f ca="1">IF(M49&gt;0,N49*100/M49,0)</f>
        <v>28.124369146152411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IFERROR(__xludf.DUMMYFUNCTION("IMPORTRANGE(""https://docs.google.com/spreadsheets/d/1-uDff_7J0KD5mKrp0Vvzr7lt3OU09vwQwhkpOPPYv2Y/edit?usp=sharing"",""งบพรบ!S80"")"),0)</f>
        <v>0</v>
      </c>
      <c r="M52" s="48">
        <f ca="1">IFERROR(__xludf.DUMMYFUNCTION("IMPORTRANGE(""https://docs.google.com/spreadsheets/d/1-uDff_7J0KD5mKrp0Vvzr7lt3OU09vwQwhkpOPPYv2Y/edit?usp=sharing"",""งบพรบ!W80"")"),0)</f>
        <v>0</v>
      </c>
      <c r="N52" s="48">
        <f ca="1">IFERROR(__xludf.DUMMYFUNCTION("IMPORTRANGE(""https://docs.google.com/spreadsheets/d/1-uDff_7J0KD5mKrp0Vvzr7lt3OU09vwQwhkpOPPYv2Y/edit?usp=sharing"",""งบพรบ!Z80"")"),0)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390000</v>
      </c>
      <c r="M59" s="113">
        <f ca="1">M60+M61</f>
        <v>294550</v>
      </c>
      <c r="N59" s="113">
        <f ca="1">N60+N61</f>
        <v>171352</v>
      </c>
      <c r="O59" s="113">
        <f ca="1">IF(L59&gt;0,N59*100/L59,0)</f>
        <v>43.936410256410255</v>
      </c>
      <c r="P59" s="113">
        <f ca="1">IF(M59&gt;0,N59*100/M59,0)</f>
        <v>58.174163978950943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390000</v>
      </c>
      <c r="M61" s="119">
        <f ca="1">M64+M67</f>
        <v>294550</v>
      </c>
      <c r="N61" s="119">
        <f ca="1">N64+N67</f>
        <v>171352</v>
      </c>
      <c r="O61" s="119">
        <f ca="1">IF(L61&gt;0,N61*100/L61,0)</f>
        <v>43.936410256410255</v>
      </c>
      <c r="P61" s="119">
        <f ca="1">IF(M61&gt;0,N61*100/M61,0)</f>
        <v>58.174163978950943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390000</v>
      </c>
      <c r="M62" s="48">
        <f ca="1">M63+M64</f>
        <v>294550</v>
      </c>
      <c r="N62" s="48">
        <f ca="1">N63+N64</f>
        <v>171352</v>
      </c>
      <c r="O62" s="48">
        <f ca="1">IF(L62&gt;0,N62*100/L62,0)</f>
        <v>43.936410256410255</v>
      </c>
      <c r="P62" s="48">
        <f ca="1">IF(M62&gt;0,N62*100/M62,0)</f>
        <v>58.174163978950943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IFERROR(__xludf.DUMMYFUNCTION("IMPORTRANGE(""https://docs.google.com/spreadsheets/d/1-uDff_7J0KD5mKrp0Vvzr7lt3OU09vwQwhkpOPPYv2Y/edit?usp=sharing"",""งบพรบ!AC80"")"),390000)</f>
        <v>390000</v>
      </c>
      <c r="M64" s="48">
        <f ca="1">IFERROR(__xludf.DUMMYFUNCTION("IMPORTRANGE(""https://docs.google.com/spreadsheets/d/1-uDff_7J0KD5mKrp0Vvzr7lt3OU09vwQwhkpOPPYv2Y/edit?usp=sharing"",""งบพรบ!AH80"")"),294550)</f>
        <v>294550</v>
      </c>
      <c r="N64" s="48">
        <f ca="1">IFERROR(__xludf.DUMMYFUNCTION("IMPORTRANGE(""https://docs.google.com/spreadsheets/d/1-uDff_7J0KD5mKrp0Vvzr7lt3OU09vwQwhkpOPPYv2Y/edit?usp=sharing"",""งบพรบ!AJ80"")"),171352)</f>
        <v>171352</v>
      </c>
      <c r="O64" s="48">
        <f ca="1">IF(L64&gt;0,N64*100/L64,0)</f>
        <v>43.936410256410255</v>
      </c>
      <c r="P64" s="48">
        <f ca="1">IF(M64&gt;0,N64*100/M64,0)</f>
        <v>58.174163978950943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IFERROR(__xludf.DUMMYFUNCTION("IMPORTRANGE(""https://docs.google.com/spreadsheets/d/1-uDff_7J0KD5mKrp0Vvzr7lt3OU09vwQwhkpOPPYv2Y/edit?usp=sharing"",""งบพรบ!AF80"")"),0)</f>
        <v>0</v>
      </c>
      <c r="M67" s="59">
        <f ca="1">IFERROR(__xludf.DUMMYFUNCTION("IMPORTRANGE(""https://docs.google.com/spreadsheets/d/1-uDff_7J0KD5mKrp0Vvzr7lt3OU09vwQwhkpOPPYv2Y/edit?usp=sharing"",""งบพรบ!AI80"")"),0)</f>
        <v>0</v>
      </c>
      <c r="N67" s="59">
        <f ca="1">IFERROR(__xludf.DUMMYFUNCTION("IMPORTRANGE(""https://docs.google.com/spreadsheets/d/1-uDff_7J0KD5mKrp0Vvzr7lt3OU09vwQwhkpOPPYv2Y/edit?usp=sharing"",""งบพรบ!AK80"")"),0)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IFERROR(__xludf.DUMMYFUNCTION("IMPORTRANGE(""https://docs.google.com/spreadsheets/d/1-uDff_7J0KD5mKrp0Vvzr7lt3OU09vwQwhkpOPPYv2Y/edit?usp=sharing"",""งบพรบ!AM80"")"),0)</f>
        <v>0</v>
      </c>
      <c r="M77" s="48">
        <f ca="1">IFERROR(__xludf.DUMMYFUNCTION("IMPORTRANGE(""https://docs.google.com/spreadsheets/d/1-uDff_7J0KD5mKrp0Vvzr7lt3OU09vwQwhkpOPPYv2Y/edit?usp=sharing"",""งบพรบ!AR80"")"),0)</f>
        <v>0</v>
      </c>
      <c r="N77" s="48">
        <f ca="1">IFERROR(__xludf.DUMMYFUNCTION("IMPORTRANGE(""https://docs.google.com/spreadsheets/d/1-uDff_7J0KD5mKrp0Vvzr7lt3OU09vwQwhkpOPPYv2Y/edit?usp=sharing"",""งบพรบ!AT80"")"),0)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IFERROR(__xludf.DUMMYFUNCTION("IMPORTRANGE(""https://docs.google.com/spreadsheets/d/1-uDff_7J0KD5mKrp0Vvzr7lt3OU09vwQwhkpOPPYv2Y/edit?usp=sharing"",""งบพรบ!AP80"")"),0)</f>
        <v>0</v>
      </c>
      <c r="M80" s="48">
        <f ca="1">IFERROR(__xludf.DUMMYFUNCTION("IMPORTRANGE(""https://docs.google.com/spreadsheets/d/1-uDff_7J0KD5mKrp0Vvzr7lt3OU09vwQwhkpOPPYv2Y/edit?usp=sharing"",""งบพรบ!AS80"")"),0)</f>
        <v>0</v>
      </c>
      <c r="N80" s="48">
        <f ca="1">IFERROR(__xludf.DUMMYFUNCTION("IMPORTRANGE(""https://docs.google.com/spreadsheets/d/1-uDff_7J0KD5mKrp0Vvzr7lt3OU09vwQwhkpOPPYv2Y/edit?usp=sharing"",""งบพรบ!AU80"")"),0)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IFERROR(__xludf.DUMMYFUNCTION("IMPORTRANGE(""https://docs.google.com/spreadsheets/d/1eHaY18a8A9IcSdp1K8H6x8fbOy06t2VsZHhMHf-1x7Y/edit?usp=sharing"",""แผน!H80"")"),0)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IFERROR(__xludf.DUMMYFUNCTION("IMPORTRANGE(""https://docs.google.com/spreadsheets/d/1eHaY18a8A9IcSdp1K8H6x8fbOy06t2VsZHhMHf-1x7Y/edit?usp=sharing"",""แผน!I80"")"),0)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IFERROR(__xludf.DUMMYFUNCTION("IMPORTRANGE(""https://docs.google.com/spreadsheets/d/1eHaY18a8A9IcSdp1K8H6x8fbOy06t2VsZHhMHf-1x7Y/edit?usp=sharing"",""แผน!F80"")"),0)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IFERROR(__xludf.DUMMYFUNCTION("IMPORTRANGE(""https://docs.google.com/spreadsheets/d/1eHaY18a8A9IcSdp1K8H6x8fbOy06t2VsZHhMHf-1x7Y/edit?usp=sharing"",""แผน!G80"")"),0)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IFERROR(__xludf.DUMMYFUNCTION("IMPORTRANGE(""https://docs.google.com/spreadsheets/d/1eHaY18a8A9IcSdp1K8H6x8fbOy06t2VsZHhMHf-1x7Y/edit?usp=sharing"",""แผน!D80"")"),0)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IFERROR(__xludf.DUMMYFUNCTION("IMPORTRANGE(""https://docs.google.com/spreadsheets/d/1eHaY18a8A9IcSdp1K8H6x8fbOy06t2VsZHhMHf-1x7Y/edit?usp=sharing"",""แผน!E80"")"),0)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IFERROR(__xludf.DUMMYFUNCTION("IMPORTRANGE(""https://docs.google.com/spreadsheets/d/1eHaY18a8A9IcSdp1K8H6x8fbOy06t2VsZHhMHf-1x7Y/edit?usp=sharing"",""แผน!J80"")"),0)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IFERROR(__xludf.DUMMYFUNCTION("IMPORTRANGE(""https://docs.google.com/spreadsheets/d/1-uDff_7J0KD5mKrp0Vvzr7lt3OU09vwQwhkpOPPYv2Y/edit?usp=sharing"",""งบพรบ!AW80"")"),0)</f>
        <v>0</v>
      </c>
      <c r="M99" s="48">
        <f ca="1">IFERROR(__xludf.DUMMYFUNCTION("IMPORTRANGE(""https://docs.google.com/spreadsheets/d/1-uDff_7J0KD5mKrp0Vvzr7lt3OU09vwQwhkpOPPYv2Y/edit?usp=sharing"",""งบพรบ!BB80"")"),0)</f>
        <v>0</v>
      </c>
      <c r="N99" s="48">
        <f ca="1">IFERROR(__xludf.DUMMYFUNCTION("IMPORTRANGE(""https://docs.google.com/spreadsheets/d/1-uDff_7J0KD5mKrp0Vvzr7lt3OU09vwQwhkpOPPYv2Y/edit?usp=sharing"",""งบพรบ!BD80"")"),0)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IFERROR(__xludf.DUMMYFUNCTION("IMPORTRANGE(""https://docs.google.com/spreadsheets/d/1-uDff_7J0KD5mKrp0Vvzr7lt3OU09vwQwhkpOPPYv2Y/edit?usp=sharing"",""งบพรบ!AZ80"")"),0)</f>
        <v>0</v>
      </c>
      <c r="M102" s="48">
        <f ca="1">IFERROR(__xludf.DUMMYFUNCTION("IMPORTRANGE(""https://docs.google.com/spreadsheets/d/1-uDff_7J0KD5mKrp0Vvzr7lt3OU09vwQwhkpOPPYv2Y/edit?usp=sharing"",""งบพรบ!BC80"")"),0)</f>
        <v>0</v>
      </c>
      <c r="N102" s="48">
        <f ca="1">IFERROR(__xludf.DUMMYFUNCTION("IMPORTRANGE(""https://docs.google.com/spreadsheets/d/1-uDff_7J0KD5mKrp0Vvzr7lt3OU09vwQwhkpOPPYv2Y/edit?usp=sharing"",""งบพรบ!BE80"")"),0)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IFERROR(__xludf.DUMMYFUNCTION("IMPORTRANGE(""https://docs.google.com/spreadsheets/d/1eHaY18a8A9IcSdp1K8H6x8fbOy06t2VsZHhMHf-1x7Y/edit?usp=sharing"",""แผน!N80"")"),0)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IFERROR(__xludf.DUMMYFUNCTION("IMPORTRANGE(""https://docs.google.com/spreadsheets/d/1eHaY18a8A9IcSdp1K8H6x8fbOy06t2VsZHhMHf-1x7Y/edit?usp=sharing"",""แผน!O80"")"),0)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IFERROR(__xludf.DUMMYFUNCTION("IMPORTRANGE(""https://docs.google.com/spreadsheets/d/1eHaY18a8A9IcSdp1K8H6x8fbOy06t2VsZHhMHf-1x7Y/edit?usp=sharing"",""แผน!R80"")"),0)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IFERROR(__xludf.DUMMYFUNCTION("IMPORTRANGE(""https://docs.google.com/spreadsheets/d/1-uDff_7J0KD5mKrp0Vvzr7lt3OU09vwQwhkpOPPYv2Y/edit?usp=sharing"",""งบพรบ!BG80"")"),0)</f>
        <v>0</v>
      </c>
      <c r="M130" s="178">
        <f ca="1">IFERROR(__xludf.DUMMYFUNCTION("IMPORTRANGE(""https://docs.google.com/spreadsheets/d/1-uDff_7J0KD5mKrp0Vvzr7lt3OU09vwQwhkpOPPYv2Y/edit?usp=sharing"",""งบพรบ!BL80"")"),0)</f>
        <v>0</v>
      </c>
      <c r="N130" s="178">
        <f ca="1">IFERROR(__xludf.DUMMYFUNCTION("IMPORTRANGE(""https://docs.google.com/spreadsheets/d/1-uDff_7J0KD5mKrp0Vvzr7lt3OU09vwQwhkpOPPYv2Y/edit?usp=sharing"",""งบพรบ!BN80"")"),0)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IFERROR(__xludf.DUMMYFUNCTION("IMPORTRANGE(""https://docs.google.com/spreadsheets/d/1-uDff_7J0KD5mKrp0Vvzr7lt3OU09vwQwhkpOPPYv2Y/edit?usp=sharing"",""งบพรบ!BJ80"")"),0)</f>
        <v>0</v>
      </c>
      <c r="M133" s="178">
        <f ca="1">IFERROR(__xludf.DUMMYFUNCTION("IMPORTRANGE(""https://docs.google.com/spreadsheets/d/1-uDff_7J0KD5mKrp0Vvzr7lt3OU09vwQwhkpOPPYv2Y/edit?usp=sharing"",""งบพรบ!BM80"")"),0)</f>
        <v>0</v>
      </c>
      <c r="N133" s="178">
        <f ca="1">IFERROR(__xludf.DUMMYFUNCTION("IMPORTRANGE(""https://docs.google.com/spreadsheets/d/1-uDff_7J0KD5mKrp0Vvzr7lt3OU09vwQwhkpOPPYv2Y/edit?usp=sharing"",""งบพรบ!BO80"")"),0)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hidden="1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hidden="1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hidden="1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hidden="1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hidden="1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0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hidden="1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0</v>
      </c>
      <c r="M139" s="141">
        <f ca="1">M140+M141</f>
        <v>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hidden="1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0</v>
      </c>
      <c r="M141" s="48">
        <f ca="1">M144+M147</f>
        <v>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hidden="1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0</v>
      </c>
      <c r="M142" s="48">
        <f ca="1">M143+M144</f>
        <v>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hidden="1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IFERROR(__xludf.DUMMYFUNCTION("IMPORTRANGE(""https://docs.google.com/spreadsheets/d/1-uDff_7J0KD5mKrp0Vvzr7lt3OU09vwQwhkpOPPYv2Y/edit?usp=sharing"",""งบพรบ!BQ80"")"),0)</f>
        <v>0</v>
      </c>
      <c r="M144" s="48">
        <f ca="1">IFERROR(__xludf.DUMMYFUNCTION("IMPORTRANGE(""https://docs.google.com/spreadsheets/d/1-uDff_7J0KD5mKrp0Vvzr7lt3OU09vwQwhkpOPPYv2Y/edit?usp=sharing"",""งบพรบ!BV80"")"),0)</f>
        <v>0</v>
      </c>
      <c r="N144" s="48">
        <f ca="1">IFERROR(__xludf.DUMMYFUNCTION("IMPORTRANGE(""https://docs.google.com/spreadsheets/d/1-uDff_7J0KD5mKrp0Vvzr7lt3OU09vwQwhkpOPPYv2Y/edit?usp=sharing"",""งบพรบ!BX80"")"),0)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hidden="1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hidden="1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IFERROR(__xludf.DUMMYFUNCTION("IMPORTRANGE(""https://docs.google.com/spreadsheets/d/1-uDff_7J0KD5mKrp0Vvzr7lt3OU09vwQwhkpOPPYv2Y/edit?usp=sharing"",""งบพรบ!BT80"")"),0)</f>
        <v>0</v>
      </c>
      <c r="M147" s="48">
        <f ca="1">IFERROR(__xludf.DUMMYFUNCTION("IMPORTRANGE(""https://docs.google.com/spreadsheets/d/1-uDff_7J0KD5mKrp0Vvzr7lt3OU09vwQwhkpOPPYv2Y/edit?usp=sharing"",""งบพรบ!BW80"")"),0)</f>
        <v>0</v>
      </c>
      <c r="N147" s="48">
        <f ca="1">IFERROR(__xludf.DUMMYFUNCTION("IMPORTRANGE(""https://docs.google.com/spreadsheets/d/1-uDff_7J0KD5mKrp0Vvzr7lt3OU09vwQwhkpOPPYv2Y/edit?usp=sharing"",""งบพรบ!BY80"")"),0)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hidden="1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hidden="1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hidden="1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IFERROR(__xludf.DUMMYFUNCTION("IMPORTRANGE(""https://docs.google.com/spreadsheets/d/1eHaY18a8A9IcSdp1K8H6x8fbOy06t2VsZHhMHf-1x7Y/edit?usp=sharing"",""แผน!U80"")"),0)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hidden="1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IFERROR(__xludf.DUMMYFUNCTION("IMPORTRANGE(""https://docs.google.com/spreadsheets/d/1eHaY18a8A9IcSdp1K8H6x8fbOy06t2VsZHhMHf-1x7Y/edit?usp=sharing"",""แผน!V80"")"),0)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hidden="1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IFERROR(__xludf.DUMMYFUNCTION("IMPORTRANGE(""https://docs.google.com/spreadsheets/d/1eHaY18a8A9IcSdp1K8H6x8fbOy06t2VsZHhMHf-1x7Y/edit?usp=sharing"",""แผน!W80"")"),0)</f>
        <v>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hidden="1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IFERROR(__xludf.DUMMYFUNCTION("IMPORTRANGE(""https://docs.google.com/spreadsheets/d/1eHaY18a8A9IcSdp1K8H6x8fbOy06t2VsZHhMHf-1x7Y/edit?usp=sharing"",""แผน!X80"")"),0)</f>
        <v>0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hidden="1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IFERROR(__xludf.DUMMYFUNCTION("IMPORTRANGE(""https://docs.google.com/spreadsheets/d/1eHaY18a8A9IcSdp1K8H6x8fbOy06t2VsZHhMHf-1x7Y/edit?usp=sharing"",""แผน!Y80"")"),0)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IFERROR(__xludf.DUMMYFUNCTION("IMPORTRANGE(""https://docs.google.com/spreadsheets/d/1-uDff_7J0KD5mKrp0Vvzr7lt3OU09vwQwhkpOPPYv2Y/edit?usp=sharing"",""งบพรบ!CA80"")"),0)</f>
        <v>0</v>
      </c>
      <c r="M162" s="48">
        <f ca="1">IFERROR(__xludf.DUMMYFUNCTION("IMPORTRANGE(""https://docs.google.com/spreadsheets/d/1-uDff_7J0KD5mKrp0Vvzr7lt3OU09vwQwhkpOPPYv2Y/edit?usp=sharing"",""งบพรบ!CF80"")"),0)</f>
        <v>0</v>
      </c>
      <c r="N162" s="48">
        <f ca="1">IFERROR(__xludf.DUMMYFUNCTION("IMPORTRANGE(""https://docs.google.com/spreadsheets/d/1-uDff_7J0KD5mKrp0Vvzr7lt3OU09vwQwhkpOPPYv2Y/edit?usp=sharing"",""งบพรบ!CH80"")"),0)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IFERROR(__xludf.DUMMYFUNCTION("IMPORTRANGE(""https://docs.google.com/spreadsheets/d/1-uDff_7J0KD5mKrp0Vvzr7lt3OU09vwQwhkpOPPYv2Y/edit?usp=sharing"",""งบพรบ!CD80"")"),0)</f>
        <v>0</v>
      </c>
      <c r="M165" s="48">
        <f ca="1">IFERROR(__xludf.DUMMYFUNCTION("IMPORTRANGE(""https://docs.google.com/spreadsheets/d/1-uDff_7J0KD5mKrp0Vvzr7lt3OU09vwQwhkpOPPYv2Y/edit?usp=sharing"",""งบพรบ!CG80"")"),0)</f>
        <v>0</v>
      </c>
      <c r="N165" s="48">
        <f ca="1">IFERROR(__xludf.DUMMYFUNCTION("IMPORTRANGE(""https://docs.google.com/spreadsheets/d/1-uDff_7J0KD5mKrp0Vvzr7lt3OU09vwQwhkpOPPYv2Y/edit?usp=sharing"",""งบพรบ!CI80"")"),0)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IFERROR(__xludf.DUMMYFUNCTION("IMPORTRANGE(""https://docs.google.com/spreadsheets/d/1eHaY18a8A9IcSdp1K8H6x8fbOy06t2VsZHhMHf-1x7Y/edit?usp=sharing"",""แผน!Z80"")"),0)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IFERROR(__xludf.DUMMYFUNCTION("IMPORTRANGE(""https://docs.google.com/spreadsheets/d/1eHaY18a8A9IcSdp1K8H6x8fbOy06t2VsZHhMHf-1x7Y/edit?usp=sharing"",""แผน!Z80"")"),0)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IFERROR(__xludf.DUMMYFUNCTION("IMPORTRANGE(""https://docs.google.com/spreadsheets/d/1eHaY18a8A9IcSdp1K8H6x8fbOy06t2VsZHhMHf-1x7Y/edit?usp=sharing"",""แผน!Z80"")"),0)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0</v>
      </c>
      <c r="O173" s="141">
        <f ca="1">IF(L173&gt;0,N173*100/L173,0)</f>
        <v>0</v>
      </c>
      <c r="P173" s="141">
        <f ca="1">IF(M173&gt;0,N173*100/M173,0)</f>
        <v>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0</v>
      </c>
      <c r="O175" s="48">
        <f ca="1">IF(L175&gt;0,N175*100/L175,0)</f>
        <v>0</v>
      </c>
      <c r="P175" s="48">
        <f ca="1">IF(M175&gt;0,N175*100/M175,0)</f>
        <v>0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0</v>
      </c>
      <c r="O176" s="48">
        <f ca="1">IF(L176&gt;0,N176*100/L176,0)</f>
        <v>0</v>
      </c>
      <c r="P176" s="48">
        <f ca="1">IF(M176&gt;0,N176*100/M176,0)</f>
        <v>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IFERROR(__xludf.DUMMYFUNCTION("IMPORTRANGE(""https://docs.google.com/spreadsheets/d/1-uDff_7J0KD5mKrp0Vvzr7lt3OU09vwQwhkpOPPYv2Y/edit?usp=sharing"",""งบพรบ!CK80"")"),19590)</f>
        <v>19590</v>
      </c>
      <c r="M178" s="48">
        <f ca="1">IFERROR(__xludf.DUMMYFUNCTION("IMPORTRANGE(""https://docs.google.com/spreadsheets/d/1-uDff_7J0KD5mKrp0Vvzr7lt3OU09vwQwhkpOPPYv2Y/edit?usp=sharing"",""งบพรบ!CP80"")"),19590)</f>
        <v>19590</v>
      </c>
      <c r="N178" s="48">
        <f ca="1">IFERROR(__xludf.DUMMYFUNCTION("IMPORTRANGE(""https://docs.google.com/spreadsheets/d/1-uDff_7J0KD5mKrp0Vvzr7lt3OU09vwQwhkpOPPYv2Y/edit?usp=sharing"",""งบพรบ!CR80"")"),0)</f>
        <v>0</v>
      </c>
      <c r="O178" s="48">
        <f ca="1">IF(L178&gt;0,N178*100/L178,0)</f>
        <v>0</v>
      </c>
      <c r="P178" s="48">
        <f ca="1">IF(M178&gt;0,N178*100/M178,0)</f>
        <v>0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IFERROR(__xludf.DUMMYFUNCTION("IMPORTRANGE(""https://docs.google.com/spreadsheets/d/1-uDff_7J0KD5mKrp0Vvzr7lt3OU09vwQwhkpOPPYv2Y/edit?usp=sharing"",""งบพรบ!CN80"")"),0)</f>
        <v>0</v>
      </c>
      <c r="M181" s="48">
        <f ca="1">IFERROR(__xludf.DUMMYFUNCTION("IMPORTRANGE(""https://docs.google.com/spreadsheets/d/1-uDff_7J0KD5mKrp0Vvzr7lt3OU09vwQwhkpOPPYv2Y/edit?usp=sharing"",""งบพรบ!CQ80"")"),0)</f>
        <v>0</v>
      </c>
      <c r="N181" s="48">
        <f ca="1">IFERROR(__xludf.DUMMYFUNCTION("IMPORTRANGE(""https://docs.google.com/spreadsheets/d/1-uDff_7J0KD5mKrp0Vvzr7lt3OU09vwQwhkpOPPYv2Y/edit?usp=sharing"",""งบพรบ!CS80"")"),0)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IFERROR(__xludf.DUMMYFUNCTION("IMPORTRANGE(""https://docs.google.com/spreadsheets/d/1eHaY18a8A9IcSdp1K8H6x8fbOy06t2VsZHhMHf-1x7Y/edit?usp=sharing"",""แผน!AA80"")"),7)</f>
        <v>7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105500</v>
      </c>
      <c r="M186" s="141">
        <f ca="1">M187+M188</f>
        <v>72500</v>
      </c>
      <c r="N186" s="141">
        <f ca="1">N187+N188</f>
        <v>54924</v>
      </c>
      <c r="O186" s="141">
        <f ca="1">IF(L186&gt;0,N186*100/L186,0)</f>
        <v>52.060663507109005</v>
      </c>
      <c r="P186" s="141">
        <f ca="1">IF(M186&gt;0,N186*100/M186,0)</f>
        <v>75.757241379310344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105500</v>
      </c>
      <c r="M188" s="48">
        <f ca="1">M191+M194</f>
        <v>72500</v>
      </c>
      <c r="N188" s="48">
        <f ca="1">N191+N194</f>
        <v>54924</v>
      </c>
      <c r="O188" s="48">
        <f ca="1">IF(L188&gt;0,N188*100/L188,0)</f>
        <v>52.060663507109005</v>
      </c>
      <c r="P188" s="48">
        <f ca="1">IF(M188&gt;0,N188*100/M188,0)</f>
        <v>75.757241379310344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105500</v>
      </c>
      <c r="M189" s="48">
        <f ca="1">M190+M191</f>
        <v>72500</v>
      </c>
      <c r="N189" s="48">
        <f ca="1">N190+N191</f>
        <v>54924</v>
      </c>
      <c r="O189" s="48">
        <f ca="1">IF(L189&gt;0,N189*100/L189,0)</f>
        <v>52.060663507109005</v>
      </c>
      <c r="P189" s="48">
        <f ca="1">IF(M189&gt;0,N189*100/M189,0)</f>
        <v>75.757241379310344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IFERROR(__xludf.DUMMYFUNCTION("IMPORTRANGE(""https://docs.google.com/spreadsheets/d/1-uDff_7J0KD5mKrp0Vvzr7lt3OU09vwQwhkpOPPYv2Y/edit?usp=sharing"",""งบพรบ!CU80"")"),105500)</f>
        <v>105500</v>
      </c>
      <c r="M191" s="48">
        <f ca="1">IFERROR(__xludf.DUMMYFUNCTION("IMPORTRANGE(""https://docs.google.com/spreadsheets/d/1-uDff_7J0KD5mKrp0Vvzr7lt3OU09vwQwhkpOPPYv2Y/edit?usp=sharing"",""งบพรบ!CZ80"")"),72500)</f>
        <v>72500</v>
      </c>
      <c r="N191" s="48">
        <f ca="1">IFERROR(__xludf.DUMMYFUNCTION("IMPORTRANGE(""https://docs.google.com/spreadsheets/d/1-uDff_7J0KD5mKrp0Vvzr7lt3OU09vwQwhkpOPPYv2Y/edit?usp=sharing"",""งบพรบ!DB80"")"),54924)</f>
        <v>54924</v>
      </c>
      <c r="O191" s="48">
        <f ca="1">IF(L191&gt;0,N191*100/L191,0)</f>
        <v>52.060663507109005</v>
      </c>
      <c r="P191" s="48">
        <f ca="1">IF(M191&gt;0,N191*100/M191,0)</f>
        <v>75.757241379310344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IFERROR(__xludf.DUMMYFUNCTION("IMPORTRANGE(""https://docs.google.com/spreadsheets/d/1-uDff_7J0KD5mKrp0Vvzr7lt3OU09vwQwhkpOPPYv2Y/edit?usp=sharing"",""งบพรบ!CX80"")"),0)</f>
        <v>0</v>
      </c>
      <c r="M194" s="48">
        <f ca="1">IFERROR(__xludf.DUMMYFUNCTION("IMPORTRANGE(""https://docs.google.com/spreadsheets/d/1-uDff_7J0KD5mKrp0Vvzr7lt3OU09vwQwhkpOPPYv2Y/edit?usp=sharing"",""งบพรบ!DA80"")"),0)</f>
        <v>0</v>
      </c>
      <c r="N194" s="48">
        <f ca="1">IFERROR(__xludf.DUMMYFUNCTION("IMPORTRANGE(""https://docs.google.com/spreadsheets/d/1-uDff_7J0KD5mKrp0Vvzr7lt3OU09vwQwhkpOPPYv2Y/edit?usp=sharing"",""งบพรบ!DC80"")"),0)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IFERROR(__xludf.DUMMYFUNCTION("IMPORTRANGE(""https://docs.google.com/spreadsheets/d/1eHaY18a8A9IcSdp1K8H6x8fbOy06t2VsZHhMHf-1x7Y/edit?usp=sharing"",""แผน!AB80"")"),6000)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IFERROR(__xludf.DUMMYFUNCTION("IMPORTRANGE(""https://docs.google.com/spreadsheets/d/1eHaY18a8A9IcSdp1K8H6x8fbOy06t2VsZHhMHf-1x7Y/edit?usp=sharing"",""แผน!AE80"")"),4)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1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13000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IFERROR(__xludf.DUMMYFUNCTION("IMPORTRANGE(""https://docs.google.com/spreadsheets/d/1eHaY18a8A9IcSdp1K8H6x8fbOy06t2VsZHhMHf-1x7Y/edit?usp=sharing"",""แผน!AG80"")"),1000)</f>
        <v>1000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IFERROR(__xludf.DUMMYFUNCTION("IMPORTRANGE(""https://docs.google.com/spreadsheets/d/1eHaY18a8A9IcSdp1K8H6x8fbOy06t2VsZHhMHf-1x7Y/edit?usp=sharing"",""แผน!AH80"")"),0)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IFERROR(__xludf.DUMMYFUNCTION("IMPORTRANGE(""https://docs.google.com/spreadsheets/d/1eHaY18a8A9IcSdp1K8H6x8fbOy06t2VsZHhMHf-1x7Y/edit?usp=sharing"",""แผน!AI80"")"),8000)</f>
        <v>8000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IFERROR(__xludf.DUMMYFUNCTION("IMPORTRANGE(""https://docs.google.com/spreadsheets/d/1eHaY18a8A9IcSdp1K8H6x8fbOy06t2VsZHhMHf-1x7Y/edit?usp=sharing"",""แผน!AJ80"")"),4000)</f>
        <v>4000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IFERROR(__xludf.DUMMYFUNCTION("IMPORTRANGE(""https://docs.google.com/spreadsheets/d/1eHaY18a8A9IcSdp1K8H6x8fbOy06t2VsZHhMHf-1x7Y/edit?usp=sharing"",""แผน!AK80"")"),1)</f>
        <v>1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IFERROR(__xludf.DUMMYFUNCTION("IMPORTRANGE(""https://docs.google.com/spreadsheets/d/1eHaY18a8A9IcSdp1K8H6x8fbOy06t2VsZHhMHf-1x7Y/edit?usp=sharing"",""แผน!AK80"")"),1)</f>
        <v>1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IFERROR(__xludf.DUMMYFUNCTION("IMPORTRANGE(""https://docs.google.com/spreadsheets/d/1eHaY18a8A9IcSdp1K8H6x8fbOy06t2VsZHhMHf-1x7Y/edit?usp=sharing"",""แผน!AK80"")"),1)</f>
        <v>1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hidden="1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hidden="1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hidden="1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IFERROR(__xludf.DUMMYFUNCTION("IMPORTRANGE(""https://docs.google.com/spreadsheets/d/1eHaY18a8A9IcSdp1K8H6x8fbOy06t2VsZHhMHf-1x7Y/edit?usp=sharing"",""แผน!AM80"")"),0)</f>
        <v>0</v>
      </c>
      <c r="M215" s="47"/>
      <c r="N215" s="249">
        <v>0</v>
      </c>
      <c r="O215" s="146"/>
      <c r="P215" s="47"/>
    </row>
    <row r="216" spans="1:16" ht="18.75" hidden="1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IFERROR(__xludf.DUMMYFUNCTION("IMPORTRANGE(""https://docs.google.com/spreadsheets/d/1eHaY18a8A9IcSdp1K8H6x8fbOy06t2VsZHhMHf-1x7Y/edit?usp=sharing"",""แผน!AN80"")"),0)</f>
        <v>0</v>
      </c>
      <c r="M216" s="47"/>
      <c r="N216" s="249">
        <v>0</v>
      </c>
      <c r="O216" s="146"/>
      <c r="P216" s="47"/>
    </row>
    <row r="217" spans="1:16" ht="18.75" hidden="1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IFERROR(__xludf.DUMMYFUNCTION("IMPORTRANGE(""https://docs.google.com/spreadsheets/d/1eHaY18a8A9IcSdp1K8H6x8fbOy06t2VsZHhMHf-1x7Y/edit?usp=sharing"",""แผน!AO80"")"),0)</f>
        <v>0</v>
      </c>
      <c r="M217" s="47"/>
      <c r="N217" s="249">
        <v>0</v>
      </c>
      <c r="O217" s="146"/>
      <c r="P217" s="47"/>
    </row>
    <row r="218" spans="1:16" ht="19.5" hidden="1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hidden="1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IFERROR(__xludf.DUMMYFUNCTION("IMPORTRANGE(""https://docs.google.com/spreadsheets/d/1eHaY18a8A9IcSdp1K8H6x8fbOy06t2VsZHhMHf-1x7Y/edit?usp=sharing"",""แผน!AP80"")"),0)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hidden="1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IFERROR(__xludf.DUMMYFUNCTION("IMPORTRANGE(""https://docs.google.com/spreadsheets/d/1eHaY18a8A9IcSdp1K8H6x8fbOy06t2VsZHhMHf-1x7Y/edit?usp=sharing"",""แผน!AP80"")"),0)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12800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IFERROR(__xludf.DUMMYFUNCTION("IMPORTRANGE(""https://docs.google.com/spreadsheets/d/1eHaY18a8A9IcSdp1K8H6x8fbOy06t2VsZHhMHf-1x7Y/edit?usp=sharing"",""แผน!AR80"")"),3000)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IFERROR(__xludf.DUMMYFUNCTION("IMPORTRANGE(""https://docs.google.com/spreadsheets/d/1eHaY18a8A9IcSdp1K8H6x8fbOy06t2VsZHhMHf-1x7Y/edit?usp=sharing"",""แผน!AS80"")"),1500)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IFERROR(__xludf.DUMMYFUNCTION("IMPORTRANGE(""https://docs.google.com/spreadsheets/d/1eHaY18a8A9IcSdp1K8H6x8fbOy06t2VsZHhMHf-1x7Y/edit?usp=sharing"",""แผน!AT80"")"),0)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IFERROR(__xludf.DUMMYFUNCTION("IMPORTRANGE(""https://docs.google.com/spreadsheets/d/1eHaY18a8A9IcSdp1K8H6x8fbOy06t2VsZHhMHf-1x7Y/edit?usp=sharing"",""แผน!AV80"")"),12800)</f>
        <v>12800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IFERROR(__xludf.DUMMYFUNCTION("IMPORTRANGE(""https://docs.google.com/spreadsheets/d/1eHaY18a8A9IcSdp1K8H6x8fbOy06t2VsZHhMHf-1x7Y/edit?usp=sharing"",""แผน!AV80"")"),12800)</f>
        <v>12800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IFERROR(__xludf.DUMMYFUNCTION("IMPORTRANGE(""https://docs.google.com/spreadsheets/d/1eHaY18a8A9IcSdp1K8H6x8fbOy06t2VsZHhMHf-1x7Y/edit?usp=sharing"",""แผน!AU80"")"),0)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IFERROR(__xludf.DUMMYFUNCTION("IMPORTRANGE(""https://docs.google.com/spreadsheets/d/1eHaY18a8A9IcSdp1K8H6x8fbOy06t2VsZHhMHf-1x7Y/edit?usp=sharing"",""แผน!AX80"")"),0)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IFERROR(__xludf.DUMMYFUNCTION("IMPORTRANGE(""https://docs.google.com/spreadsheets/d/1eHaY18a8A9IcSdp1K8H6x8fbOy06t2VsZHhMHf-1x7Y/edit?usp=sharing"",""แผน!AY80"")"),0)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IFERROR(__xludf.DUMMYFUNCTION("IMPORTRANGE(""https://docs.google.com/spreadsheets/d/1eHaY18a8A9IcSdp1K8H6x8fbOy06t2VsZHhMHf-1x7Y/edit?usp=sharing"",""แผน!AZ80"")"),0)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IFERROR(__xludf.DUMMYFUNCTION("IMPORTRANGE(""https://docs.google.com/spreadsheets/d/1eHaY18a8A9IcSdp1K8H6x8fbOy06t2VsZHhMHf-1x7Y/edit?usp=sharing"",""แผน!BA80"")"),0)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IFERROR(__xludf.DUMMYFUNCTION("IMPORTRANGE(""https://docs.google.com/spreadsheets/d/1eHaY18a8A9IcSdp1K8H6x8fbOy06t2VsZHhMHf-1x7Y/edit?usp=sharing"",""แผน!BG80"")"),0)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IFERROR(__xludf.DUMMYFUNCTION("IMPORTRANGE(""https://docs.google.com/spreadsheets/d/1eHaY18a8A9IcSdp1K8H6x8fbOy06t2VsZHhMHf-1x7Y/edit?usp=sharing"",""แผน!BB80"")"),0)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IFERROR(__xludf.DUMMYFUNCTION("IMPORTRANGE(""https://docs.google.com/spreadsheets/d/1eHaY18a8A9IcSdp1K8H6x8fbOy06t2VsZHhMHf-1x7Y/edit?usp=sharing"",""แผน!BC80"")"),0)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IFERROR(__xludf.DUMMYFUNCTION("IMPORTRANGE(""https://docs.google.com/spreadsheets/d/1eHaY18a8A9IcSdp1K8H6x8fbOy06t2VsZHhMHf-1x7Y/edit?usp=sharing"",""แผน!BD80"")"),0)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IFERROR(__xludf.DUMMYFUNCTION("IMPORTRANGE(""https://docs.google.com/spreadsheets/d/1eHaY18a8A9IcSdp1K8H6x8fbOy06t2VsZHhMHf-1x7Y/edit?usp=sharing"",""แผน!BE80"")"),0)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IFERROR(__xludf.DUMMYFUNCTION("IMPORTRANGE(""https://docs.google.com/spreadsheets/d/1eHaY18a8A9IcSdp1K8H6x8fbOy06t2VsZHhMHf-1x7Y/edit?usp=sharing"",""แผน!BH80"")"),0)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IFERROR(__xludf.DUMMYFUNCTION("IMPORTRANGE(""https://docs.google.com/spreadsheets/d/1-uDff_7J0KD5mKrp0Vvzr7lt3OU09vwQwhkpOPPYv2Y/edit?usp=sharing"",""งบพรบ!DE80"")"),0)</f>
        <v>0</v>
      </c>
      <c r="M271" s="51">
        <f ca="1">IFERROR(__xludf.DUMMYFUNCTION("IMPORTRANGE(""https://docs.google.com/spreadsheets/d/1-uDff_7J0KD5mKrp0Vvzr7lt3OU09vwQwhkpOPPYv2Y/edit?usp=sharing"",""งบพรบ!DJ80"")"),0)</f>
        <v>0</v>
      </c>
      <c r="N271" s="51">
        <f ca="1">IFERROR(__xludf.DUMMYFUNCTION("IMPORTRANGE(""https://docs.google.com/spreadsheets/d/1-uDff_7J0KD5mKrp0Vvzr7lt3OU09vwQwhkpOPPYv2Y/edit?usp=sharing"",""งบพรบ!DL80"")"),0)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IFERROR(__xludf.DUMMYFUNCTION("IMPORTRANGE(""https://docs.google.com/spreadsheets/d/1-uDff_7J0KD5mKrp0Vvzr7lt3OU09vwQwhkpOPPYv2Y/edit?usp=sharing"",""งบพรบ!DH80"")"),0)</f>
        <v>0</v>
      </c>
      <c r="M274" s="51">
        <f ca="1">IFERROR(__xludf.DUMMYFUNCTION("IMPORTRANGE(""https://docs.google.com/spreadsheets/d/1-uDff_7J0KD5mKrp0Vvzr7lt3OU09vwQwhkpOPPYv2Y/edit?usp=sharing"",""งบพรบ!DK80"")"),0)</f>
        <v>0</v>
      </c>
      <c r="N274" s="51">
        <f ca="1">IFERROR(__xludf.DUMMYFUNCTION("IMPORTRANGE(""https://docs.google.com/spreadsheets/d/1-uDff_7J0KD5mKrp0Vvzr7lt3OU09vwQwhkpOPPYv2Y/edit?usp=sharing"",""งบพรบ!DM80"")"),0)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IFERROR(__xludf.DUMMYFUNCTION("IMPORTRANGE(""https://docs.google.com/spreadsheets/d/1-uDff_7J0KD5mKrp0Vvzr7lt3OU09vwQwhkpOPPYv2Y/edit?usp=sharing"",""งบพรบ!DO80"")"),0)</f>
        <v>0</v>
      </c>
      <c r="M287" s="48">
        <f ca="1">IFERROR(__xludf.DUMMYFUNCTION("IMPORTRANGE(""https://docs.google.com/spreadsheets/d/1-uDff_7J0KD5mKrp0Vvzr7lt3OU09vwQwhkpOPPYv2Y/edit?usp=sharing"",""งบพรบ!DT80"")"),0)</f>
        <v>0</v>
      </c>
      <c r="N287" s="48">
        <f ca="1">IFERROR(__xludf.DUMMYFUNCTION("IMPORTRANGE(""https://docs.google.com/spreadsheets/d/1-uDff_7J0KD5mKrp0Vvzr7lt3OU09vwQwhkpOPPYv2Y/edit?usp=sharing"",""งบพรบ!DV80"")"),0)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IFERROR(__xludf.DUMMYFUNCTION("IMPORTRANGE(""https://docs.google.com/spreadsheets/d/1-uDff_7J0KD5mKrp0Vvzr7lt3OU09vwQwhkpOPPYv2Y/edit?usp=sharing"",""งบพรบ!DR80"")"),0)</f>
        <v>0</v>
      </c>
      <c r="M290" s="48">
        <f ca="1">IFERROR(__xludf.DUMMYFUNCTION("IMPORTRANGE(""https://docs.google.com/spreadsheets/d/1-uDff_7J0KD5mKrp0Vvzr7lt3OU09vwQwhkpOPPYv2Y/edit?usp=sharing"",""งบพรบ!DU80"")"),0)</f>
        <v>0</v>
      </c>
      <c r="N290" s="48">
        <f ca="1">IFERROR(__xludf.DUMMYFUNCTION("IMPORTRANGE(""https://docs.google.com/spreadsheets/d/1-uDff_7J0KD5mKrp0Vvzr7lt3OU09vwQwhkpOPPYv2Y/edit?usp=sharing"",""งบพรบ!DW80"")"),0)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IFERROR(__xludf.DUMMYFUNCTION("IMPORTRANGE(""https://docs.google.com/spreadsheets/d/1eHaY18a8A9IcSdp1K8H6x8fbOy06t2VsZHhMHf-1x7Y/edit?usp=sharing"",""แผน!EE80"")"),0)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IFERROR(__xludf.DUMMYFUNCTION("IMPORTRANGE(""https://docs.google.com/spreadsheets/d/1eHaY18a8A9IcSdp1K8H6x8fbOy06t2VsZHhMHf-1x7Y/edit?usp=sharing"",""แผน!ED80"")"),0)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IFERROR(__xludf.DUMMYFUNCTION("IMPORTRANGE(""https://docs.google.com/spreadsheets/d/1eHaY18a8A9IcSdp1K8H6x8fbOy06t2VsZHhMHf-1x7Y/edit?usp=sharing"",""แผน!ED80"")"),0)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IFERROR(__xludf.DUMMYFUNCTION("IMPORTRANGE(""https://docs.google.com/spreadsheets/d/1eHaY18a8A9IcSdp1K8H6x8fbOy06t2VsZHhMHf-1x7Y/edit?usp=sharing"",""แผน!ED80"")"),0)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IFERROR(__xludf.DUMMYFUNCTION("IMPORTRANGE(""https://docs.google.com/spreadsheets/d/1-uDff_7J0KD5mKrp0Vvzr7lt3OU09vwQwhkpOPPYv2Y/edit?usp=sharing"",""งบพรบ!DY80"")"),0)</f>
        <v>0</v>
      </c>
      <c r="M308" s="48">
        <f ca="1">IFERROR(__xludf.DUMMYFUNCTION("IMPORTRANGE(""https://docs.google.com/spreadsheets/d/1-uDff_7J0KD5mKrp0Vvzr7lt3OU09vwQwhkpOPPYv2Y/edit?usp=sharing"",""งบพรบ!ED80"")"),0)</f>
        <v>0</v>
      </c>
      <c r="N308" s="48">
        <f ca="1">IFERROR(__xludf.DUMMYFUNCTION("IMPORTRANGE(""https://docs.google.com/spreadsheets/d/1-uDff_7J0KD5mKrp0Vvzr7lt3OU09vwQwhkpOPPYv2Y/edit?usp=sharing"",""งบพรบ!EF80"")"),0)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IFERROR(__xludf.DUMMYFUNCTION("IMPORTRANGE(""https://docs.google.com/spreadsheets/d/1-uDff_7J0KD5mKrp0Vvzr7lt3OU09vwQwhkpOPPYv2Y/edit?usp=sharing"",""งบพรบ!EB80"")"),0)</f>
        <v>0</v>
      </c>
      <c r="M311" s="48">
        <f ca="1">IFERROR(__xludf.DUMMYFUNCTION("IMPORTRANGE(""https://docs.google.com/spreadsheets/d/1-uDff_7J0KD5mKrp0Vvzr7lt3OU09vwQwhkpOPPYv2Y/edit?usp=sharing"",""งบพรบ!EE80"")"),0)</f>
        <v>0</v>
      </c>
      <c r="N311" s="48">
        <f ca="1">IFERROR(__xludf.DUMMYFUNCTION("IMPORTRANGE(""https://docs.google.com/spreadsheets/d/1-uDff_7J0KD5mKrp0Vvzr7lt3OU09vwQwhkpOPPYv2Y/edit?usp=sharing"",""งบพรบ!EG80"")"),0)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IFERROR(__xludf.DUMMYFUNCTION("IMPORTRANGE(""https://docs.google.com/spreadsheets/d/1eHaY18a8A9IcSdp1K8H6x8fbOy06t2VsZHhMHf-1x7Y/edit?usp=sharing"",""แผน!EF80"")"),0)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IFERROR(__xludf.DUMMYFUNCTION("IMPORTRANGE(""https://docs.google.com/spreadsheets/d/1eHaY18a8A9IcSdp1K8H6x8fbOy06t2VsZHhMHf-1x7Y/edit?usp=sharing"",""แผน!EG80"")"),0)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IFERROR(__xludf.DUMMYFUNCTION("IMPORTRANGE(""https://docs.google.com/spreadsheets/d/1eHaY18a8A9IcSdp1K8H6x8fbOy06t2VsZHhMHf-1x7Y/edit?usp=sharing"",""แผน!EH80"")"),0)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IFERROR(__xludf.DUMMYFUNCTION("IMPORTRANGE(""https://docs.google.com/spreadsheets/d/1eHaY18a8A9IcSdp1K8H6x8fbOy06t2VsZHhMHf-1x7Y/edit?usp=sharing"",""แผน!EI80"")"),0)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hidden="1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IFERROR(__xludf.DUMMYFUNCTION("IMPORTRANGE(""https://docs.google.com/spreadsheets/d/1-uDff_7J0KD5mKrp0Vvzr7lt3OU09vwQwhkpOPPYv2Y/edit?usp=sharing"",""งบพรบ!EI80"")"),0)</f>
        <v>0</v>
      </c>
      <c r="M325" s="48">
        <f ca="1">IFERROR(__xludf.DUMMYFUNCTION("IMPORTRANGE(""https://docs.google.com/spreadsheets/d/1-uDff_7J0KD5mKrp0Vvzr7lt3OU09vwQwhkpOPPYv2Y/edit?usp=sharing"",""งบพรบ!EN80"")"),0)</f>
        <v>0</v>
      </c>
      <c r="N325" s="48">
        <f ca="1">IFERROR(__xludf.DUMMYFUNCTION("IMPORTRANGE(""https://docs.google.com/spreadsheets/d/1-uDff_7J0KD5mKrp0Vvzr7lt3OU09vwQwhkpOPPYv2Y/edit?usp=sharing"",""งบพรบ!EP80"")"),0)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IFERROR(__xludf.DUMMYFUNCTION("IMPORTRANGE(""https://docs.google.com/spreadsheets/d/1-uDff_7J0KD5mKrp0Vvzr7lt3OU09vwQwhkpOPPYv2Y/edit?usp=sharing"",""งบพรบ!EL80"")"),0)</f>
        <v>0</v>
      </c>
      <c r="M328" s="48">
        <f ca="1">IFERROR(__xludf.DUMMYFUNCTION("IMPORTRANGE(""https://docs.google.com/spreadsheets/d/1-uDff_7J0KD5mKrp0Vvzr7lt3OU09vwQwhkpOPPYv2Y/edit?usp=sharing"",""งบพรบ!EO80"")"),0)</f>
        <v>0</v>
      </c>
      <c r="N328" s="48">
        <f ca="1">IFERROR(__xludf.DUMMYFUNCTION("IMPORTRANGE(""https://docs.google.com/spreadsheets/d/1-uDff_7J0KD5mKrp0Vvzr7lt3OU09vwQwhkpOPPYv2Y/edit?usp=sharing"",""งบพรบ!EQ80"")"),0)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IFERROR(__xludf.DUMMYFUNCTION("IMPORTRANGE(""https://docs.google.com/spreadsheets/d/1eHaY18a8A9IcSdp1K8H6x8fbOy06t2VsZHhMHf-1x7Y/edit?usp=sharing"",""แผน!EJ80"")"),0)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200</v>
      </c>
      <c r="J332" s="352">
        <f ca="1">J344+J347+J348+J349+J353</f>
        <v>96</v>
      </c>
      <c r="K332" s="353">
        <f ca="1">IF(I332&gt;0,J332*100/I332,0)</f>
        <v>48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99000</v>
      </c>
      <c r="M333" s="141">
        <f ca="1">M334+M335</f>
        <v>79350</v>
      </c>
      <c r="N333" s="141">
        <f ca="1">N334+N335</f>
        <v>13055</v>
      </c>
      <c r="O333" s="141">
        <f ca="1">IF(L333&gt;0,N333*100/L333,0)</f>
        <v>13.186868686868687</v>
      </c>
      <c r="P333" s="141">
        <f ca="1">IF(M333&gt;0,N333*100/M333,0)</f>
        <v>16.452425960932576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99000</v>
      </c>
      <c r="M335" s="48">
        <f ca="1">M338+M341</f>
        <v>79350</v>
      </c>
      <c r="N335" s="48">
        <f ca="1">N338+N341</f>
        <v>13055</v>
      </c>
      <c r="O335" s="48">
        <f ca="1">IF(L335&gt;0,N335*100/L335,0)</f>
        <v>13.186868686868687</v>
      </c>
      <c r="P335" s="48">
        <f ca="1">IF(M335&gt;0,N335*100/M335,0)</f>
        <v>16.452425960932576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99000</v>
      </c>
      <c r="M336" s="48">
        <f ca="1">M337+M338</f>
        <v>79350</v>
      </c>
      <c r="N336" s="48">
        <f ca="1">N337+N338</f>
        <v>13055</v>
      </c>
      <c r="O336" s="48">
        <f ca="1">IF(L336&gt;0,N336*100/L336,0)</f>
        <v>13.186868686868687</v>
      </c>
      <c r="P336" s="48">
        <f ca="1">IF(M336&gt;0,N336*100/M336,0)</f>
        <v>16.452425960932576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IFERROR(__xludf.DUMMYFUNCTION("IMPORTRANGE(""https://docs.google.com/spreadsheets/d/1-uDff_7J0KD5mKrp0Vvzr7lt3OU09vwQwhkpOPPYv2Y/edit?usp=sharing"",""งบพรบ!ES80"")"),99000)</f>
        <v>99000</v>
      </c>
      <c r="M338" s="48">
        <f ca="1">IFERROR(__xludf.DUMMYFUNCTION("IMPORTRANGE(""https://docs.google.com/spreadsheets/d/1-uDff_7J0KD5mKrp0Vvzr7lt3OU09vwQwhkpOPPYv2Y/edit?usp=sharing"",""งบพรบ!EX80"")"),79350)</f>
        <v>79350</v>
      </c>
      <c r="N338" s="48">
        <f ca="1">IFERROR(__xludf.DUMMYFUNCTION("IMPORTRANGE(""https://docs.google.com/spreadsheets/d/1-uDff_7J0KD5mKrp0Vvzr7lt3OU09vwQwhkpOPPYv2Y/edit?usp=sharing"",""งบพรบ!EZ80"")"),13055)</f>
        <v>13055</v>
      </c>
      <c r="O338" s="48">
        <f ca="1">IF(L338&gt;0,N338*100/L338,0)</f>
        <v>13.186868686868687</v>
      </c>
      <c r="P338" s="48">
        <f ca="1">IF(M338&gt;0,N338*100/M338,0)</f>
        <v>16.452425960932576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IFERROR(__xludf.DUMMYFUNCTION("IMPORTRANGE(""https://docs.google.com/spreadsheets/d/1-uDff_7J0KD5mKrp0Vvzr7lt3OU09vwQwhkpOPPYv2Y/edit?usp=sharing"",""งบพรบ!EV80"")"),0)</f>
        <v>0</v>
      </c>
      <c r="M341" s="48">
        <f ca="1">IFERROR(__xludf.DUMMYFUNCTION("IMPORTRANGE(""https://docs.google.com/spreadsheets/d/1-uDff_7J0KD5mKrp0Vvzr7lt3OU09vwQwhkpOPPYv2Y/edit?usp=sharing"",""งบพรบ!EY80"")"),0)</f>
        <v>0</v>
      </c>
      <c r="N341" s="48">
        <f ca="1">IFERROR(__xludf.DUMMYFUNCTION("IMPORTRANGE(""https://docs.google.com/spreadsheets/d/1-uDff_7J0KD5mKrp0Vvzr7lt3OU09vwQwhkpOPPYv2Y/edit?usp=sharing"",""งบพรบ!FA80"")"),0)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0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IFERROR(__xludf.DUMMYFUNCTION("IMPORTRANGE(""https://docs.google.com/spreadsheets/d/1eHaY18a8A9IcSdp1K8H6x8fbOy06t2VsZHhMHf-1x7Y/edit?usp=sharing"",""แผน!EK80"")"),200)</f>
        <v>200</v>
      </c>
      <c r="J344" s="170">
        <f ca="1">IFERROR(__xludf.DUMMYFUNCTION("IMPORTRANGE(""https://docs.google.com/spreadsheets/d/1awYsYK3VOup2i3Pq_Yjnu8DRu_mYwSBnCR2QPthd0rU/edit?usp=sharing"",""ศูนย์ยกเว้นโฉนด!D80"")"),0)</f>
        <v>0</v>
      </c>
      <c r="K344" s="48">
        <f ca="1">IF(I344&gt;0,J344*100/I344,0)</f>
        <v>0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IFERROR(__xludf.DUMMYFUNCTION("IMPORTRANGE(""https://docs.google.com/spreadsheets/d/1eHaY18a8A9IcSdp1K8H6x8fbOy06t2VsZHhMHf-1x7Y/edit?usp=sharing"",""แผน!EL80"")"),1)</f>
        <v>1</v>
      </c>
      <c r="J346" s="170">
        <f ca="1">IFERROR(__xludf.DUMMYFUNCTION("IMPORTRANGE(""https://docs.google.com/spreadsheets/d/1awYsYK3VOup2i3Pq_Yjnu8DRu_mYwSBnCR2QPthd0rU/edit?usp=sharing"",""ศูนย์รวม!E80"")"),3)</f>
        <v>3</v>
      </c>
      <c r="K346" s="48">
        <f ca="1">IF(I346&gt;0,J346*100/I346,0)</f>
        <v>300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IFERROR(__xludf.DUMMYFUNCTION("IMPORTRANGE(""https://docs.google.com/spreadsheets/d/1awYsYK3VOup2i3Pq_Yjnu8DRu_mYwSBnCR2QPthd0rU/edit?usp=sharing"",""ศูนย์ยกเว้นโฉนด!F80"")"),0)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IFERROR(__xludf.DUMMYFUNCTION("IMPORTRANGE(""https://docs.google.com/spreadsheets/d/1awYsYK3VOup2i3Pq_Yjnu8DRu_mYwSBnCR2QPthd0rU/edit?usp=sharing"",""ศูนย์ยกเว้นโฉนด!G80"")"),0)</f>
        <v>0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IFERROR(__xludf.DUMMYFUNCTION("IMPORTRANGE(""https://docs.google.com/spreadsheets/d/1awYsYK3VOup2i3Pq_Yjnu8DRu_mYwSBnCR2QPthd0rU/edit?usp=sharing"",""ศูนย์ยกเว้นโฉนด!H80"")"),0)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122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IFERROR(__xludf.DUMMYFUNCTION("IMPORTRANGE(""https://docs.google.com/spreadsheets/d/1awYsYK3VOup2i3Pq_Yjnu8DRu_mYwSBnCR2QPthd0rU/edit?usp=sharing"",""โฉนดM3!G80"")"),26)</f>
        <v>26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IFERROR(__xludf.DUMMYFUNCTION("IMPORTRANGE(""https://docs.google.com/spreadsheets/d/1awYsYK3VOup2i3Pq_Yjnu8DRu_mYwSBnCR2QPthd0rU/edit?usp=sharing"",""โฉนดM3!H80"")"),96)</f>
        <v>96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535170</v>
      </c>
      <c r="M356" s="141">
        <f ca="1">M357+M358</f>
        <v>396970</v>
      </c>
      <c r="N356" s="141">
        <f ca="1">N357+N358</f>
        <v>59400</v>
      </c>
      <c r="O356" s="141">
        <f ca="1">IF(L356&gt;0,N356*100/L356,0)</f>
        <v>11.09927686529514</v>
      </c>
      <c r="P356" s="141">
        <f ca="1">IF(M356&gt;0,N356*100/M356,0)</f>
        <v>14.963347356223393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535170</v>
      </c>
      <c r="M358" s="48">
        <f ca="1">M361+M364</f>
        <v>396970</v>
      </c>
      <c r="N358" s="48">
        <f ca="1">N361+N364</f>
        <v>59400</v>
      </c>
      <c r="O358" s="48">
        <f ca="1">IF(L358&gt;0,N358*100/L358,0)</f>
        <v>11.09927686529514</v>
      </c>
      <c r="P358" s="48">
        <f ca="1">IF(M358&gt;0,N358*100/M358,0)</f>
        <v>14.963347356223393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535170</v>
      </c>
      <c r="M359" s="48">
        <f ca="1">M360+M361</f>
        <v>396970</v>
      </c>
      <c r="N359" s="48">
        <f ca="1">N360+N361</f>
        <v>59400</v>
      </c>
      <c r="O359" s="48">
        <f ca="1">IF(L359&gt;0,N359*100/L359,0)</f>
        <v>11.09927686529514</v>
      </c>
      <c r="P359" s="48">
        <f ca="1">IF(M359&gt;0,N359*100/M359,0)</f>
        <v>14.963347356223393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IFERROR(__xludf.DUMMYFUNCTION("IMPORTRANGE(""https://docs.google.com/spreadsheets/d/1-uDff_7J0KD5mKrp0Vvzr7lt3OU09vwQwhkpOPPYv2Y/edit?usp=sharing"",""งบพรบ!FC80"")"),535170)</f>
        <v>535170</v>
      </c>
      <c r="M361" s="48">
        <f ca="1">IFERROR(__xludf.DUMMYFUNCTION("IMPORTRANGE(""https://docs.google.com/spreadsheets/d/1-uDff_7J0KD5mKrp0Vvzr7lt3OU09vwQwhkpOPPYv2Y/edit?usp=sharing"",""งบพรบ!FH80"")"),396970)</f>
        <v>396970</v>
      </c>
      <c r="N361" s="48">
        <f ca="1">IFERROR(__xludf.DUMMYFUNCTION("IMPORTRANGE(""https://docs.google.com/spreadsheets/d/1-uDff_7J0KD5mKrp0Vvzr7lt3OU09vwQwhkpOPPYv2Y/edit?usp=sharing"",""งบพรบ!FJ80"")"),59400)</f>
        <v>59400</v>
      </c>
      <c r="O361" s="48">
        <f ca="1">IF(L361&gt;0,N361*100/L361,0)</f>
        <v>11.09927686529514</v>
      </c>
      <c r="P361" s="48">
        <f ca="1">IF(M361&gt;0,N361*100/M361,0)</f>
        <v>14.963347356223393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IFERROR(__xludf.DUMMYFUNCTION("IMPORTRANGE(""https://docs.google.com/spreadsheets/d/1-uDff_7J0KD5mKrp0Vvzr7lt3OU09vwQwhkpOPPYv2Y/edit?usp=sharing"",""งบพรบ!FF80"")"),0)</f>
        <v>0</v>
      </c>
      <c r="M364" s="48">
        <f ca="1">IFERROR(__xludf.DUMMYFUNCTION("IMPORTRANGE(""https://docs.google.com/spreadsheets/d/1-uDff_7J0KD5mKrp0Vvzr7lt3OU09vwQwhkpOPPYv2Y/edit?usp=sharing"",""งบพรบ!FI80"")"),0)</f>
        <v>0</v>
      </c>
      <c r="N364" s="48">
        <f ca="1">IFERROR(__xludf.DUMMYFUNCTION("IMPORTRANGE(""https://docs.google.com/spreadsheets/d/1-uDff_7J0KD5mKrp0Vvzr7lt3OU09vwQwhkpOPPYv2Y/edit?usp=sharing"",""งบพรบ!FK80"")"),0)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25</v>
      </c>
      <c r="J365" s="240">
        <f ca="1">J371</f>
        <v>0</v>
      </c>
      <c r="K365" s="241">
        <f ca="1">IF(I365&gt;0,J365*100/I365,0)</f>
        <v>0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IFERROR(__xludf.DUMMYFUNCTION("IMPORTRANGE(""https://docs.google.com/spreadsheets/d/1tdoBKaGub7dwA3U6UFTqxio9LNnvDCQjHKmttSEBsFQ/edit?usp=sharing"",""จัดที่ดิน!AB80"")"),0)</f>
        <v>0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IFERROR(__xludf.DUMMYFUNCTION("IMPORTRANGE(""https://docs.google.com/spreadsheets/d/1eHaY18a8A9IcSdp1K8H6x8fbOy06t2VsZHhMHf-1x7Y/edit?usp=sharing"",""แผน!EW80"")"),230)</f>
        <v>230</v>
      </c>
      <c r="J368" s="368">
        <f ca="1">IFERROR(__xludf.DUMMYFUNCTION("IMPORTRANGE(""https://docs.google.com/spreadsheets/d/1tdoBKaGub7dwA3U6UFTqxio9LNnvDCQjHKmttSEBsFQ/edit?usp=sharing"",""จัดที่ดิน!AC80"")"),0)</f>
        <v>0</v>
      </c>
      <c r="K368" s="48">
        <f ca="1">IF(I368&gt;0,J368*100/I368,0)</f>
        <v>0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IFERROR(__xludf.DUMMYFUNCTION("IMPORTRANGE(""https://docs.google.com/spreadsheets/d/1eHaY18a8A9IcSdp1K8H6x8fbOy06t2VsZHhMHf-1x7Y/edit?usp=sharing"",""แผน!EX80"")"),32)</f>
        <v>32</v>
      </c>
      <c r="J369" s="170">
        <f ca="1">IFERROR(__xludf.DUMMYFUNCTION("IMPORTRANGE(""https://docs.google.com/spreadsheets/d/1tdoBKaGub7dwA3U6UFTqxio9LNnvDCQjHKmttSEBsFQ/edit?usp=sharing"",""จัดที่ดิน!AD80"")"),0)</f>
        <v>0</v>
      </c>
      <c r="K369" s="48">
        <f ca="1">IF(I369&gt;0,J369*100/I369,0)</f>
        <v>0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IFERROR(__xludf.DUMMYFUNCTION("IMPORTRANGE(""https://docs.google.com/spreadsheets/d/1tdoBKaGub7dwA3U6UFTqxio9LNnvDCQjHKmttSEBsFQ/edit?usp=sharing"",""จัดที่ดิน!AE80"")"),0)</f>
        <v>0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IFERROR(__xludf.DUMMYFUNCTION("IMPORTRANGE(""https://docs.google.com/spreadsheets/d/1eHaY18a8A9IcSdp1K8H6x8fbOy06t2VsZHhMHf-1x7Y/edit?usp=sharing"",""แผน!EY80"")"),25)</f>
        <v>25</v>
      </c>
      <c r="J371" s="170">
        <f ca="1">IFERROR(__xludf.DUMMYFUNCTION("IMPORTRANGE(""https://docs.google.com/spreadsheets/d/1tdoBKaGub7dwA3U6UFTqxio9LNnvDCQjHKmttSEBsFQ/edit?usp=sharing"",""จัดที่ดิน!AF80"")"),0)</f>
        <v>0</v>
      </c>
      <c r="K371" s="48">
        <f ca="1">IF(I371&gt;0,J371*100/I371,0)</f>
        <v>0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IFERROR(__xludf.DUMMYFUNCTION("IMPORTRANGE(""https://docs.google.com/spreadsheets/d/1tdoBKaGub7dwA3U6UFTqxio9LNnvDCQjHKmttSEBsFQ/edit?usp=sharing"",""จัดที่ดิน!AG80"")"),0)</f>
        <v>0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IFERROR(__xludf.DUMMYFUNCTION("IMPORTRANGE(""https://docs.google.com/spreadsheets/d/1-uDff_7J0KD5mKrp0Vvzr7lt3OU09vwQwhkpOPPYv2Y/edit?usp=sharing"",""งบพรบ!FM80"")"),0)</f>
        <v>0</v>
      </c>
      <c r="M382" s="51">
        <f ca="1">IFERROR(__xludf.DUMMYFUNCTION("IMPORTRANGE(""https://docs.google.com/spreadsheets/d/1-uDff_7J0KD5mKrp0Vvzr7lt3OU09vwQwhkpOPPYv2Y/edit?usp=sharing"",""งบพรบ!FR80"")"),0)</f>
        <v>0</v>
      </c>
      <c r="N382" s="51">
        <f ca="1">IFERROR(__xludf.DUMMYFUNCTION("IMPORTRANGE(""https://docs.google.com/spreadsheets/d/1-uDff_7J0KD5mKrp0Vvzr7lt3OU09vwQwhkpOPPYv2Y/edit?usp=sharing"",""งบพรบ!FT80"")"),0)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IFERROR(__xludf.DUMMYFUNCTION("IMPORTRANGE(""https://docs.google.com/spreadsheets/d/1-uDff_7J0KD5mKrp0Vvzr7lt3OU09vwQwhkpOPPYv2Y/edit?usp=sharing"",""งบพรบ!FP80"")"),0)</f>
        <v>0</v>
      </c>
      <c r="M385" s="51">
        <f ca="1">IFERROR(__xludf.DUMMYFUNCTION("IMPORTRANGE(""https://docs.google.com/spreadsheets/d/1-uDff_7J0KD5mKrp0Vvzr7lt3OU09vwQwhkpOPPYv2Y/edit?usp=sharing"",""งบพรบ!FS80"")"),0)</f>
        <v>0</v>
      </c>
      <c r="N385" s="51">
        <f ca="1">IFERROR(__xludf.DUMMYFUNCTION("IMPORTRANGE(""https://docs.google.com/spreadsheets/d/1-uDff_7J0KD5mKrp0Vvzr7lt3OU09vwQwhkpOPPYv2Y/edit?usp=sharing"",""งบพรบ!FU80"")"),0)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4" orientation="portrait" r:id="rId1"/>
  <headerFooter>
    <oddFooter>&amp;Cหน้า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417A9-F2E0-4829-9C56-D3ED6EAF87FE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1.28515625" bestFit="1" customWidth="1"/>
    <col min="11" max="11" width="11" bestFit="1" customWidth="1"/>
    <col min="12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160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1425746</v>
      </c>
      <c r="M18" s="34">
        <f ca="1">M19+M20</f>
        <v>1108246</v>
      </c>
      <c r="N18" s="34">
        <f ca="1">N19+N20</f>
        <v>519097.16</v>
      </c>
      <c r="O18" s="34">
        <f ca="1">IF(L18&gt;0,N18*100/L18,0)</f>
        <v>36.408810545496884</v>
      </c>
      <c r="P18" s="34">
        <f ca="1">IF(M18&gt;0,N18*100/M18,0)</f>
        <v>46.83952479864579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1425746</v>
      </c>
      <c r="M20" s="40">
        <f ca="1">M23+M26</f>
        <v>1108246</v>
      </c>
      <c r="N20" s="40">
        <f ca="1">N23+N26</f>
        <v>519097.16</v>
      </c>
      <c r="O20" s="40">
        <f ca="1">IF(L20&gt;0,N20*100/L20,0)</f>
        <v>36.408810545496884</v>
      </c>
      <c r="P20" s="40">
        <f ca="1">IF(M20&gt;0,N20*100/M20,0)</f>
        <v>46.83952479864579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1425746</v>
      </c>
      <c r="M21" s="48">
        <f ca="1">M22+M23</f>
        <v>1108246</v>
      </c>
      <c r="N21" s="48">
        <f ca="1">N22+N23</f>
        <v>519097.16</v>
      </c>
      <c r="O21" s="48">
        <f ca="1">IF(L21&gt;0,N21*100/L21,0)</f>
        <v>36.408810545496884</v>
      </c>
      <c r="P21" s="48">
        <f ca="1">IF(M21&gt;0,N21*100/M21,0)</f>
        <v>46.83952479864579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1425746</v>
      </c>
      <c r="M23" s="48">
        <f ca="1">M49+M64+M77+M99+M130+M144+M162+M191+M178+M271+M287+M308+M325+M338+M361+M382</f>
        <v>1108246</v>
      </c>
      <c r="N23" s="48">
        <f ca="1">N49+N64+N77+N99+N130+N144+N162+N191+N178+N271+N287+N308+N325+N338+N361+N382</f>
        <v>519097.16</v>
      </c>
      <c r="O23" s="48">
        <f ca="1">IF(L23&gt;0,N23*100/L23,0)</f>
        <v>36.408810545496884</v>
      </c>
      <c r="P23" s="48">
        <f ca="1">IF(M23&gt;0,N23*100/M23,0)</f>
        <v>46.83952479864579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1425746</v>
      </c>
      <c r="M40" s="65">
        <f ca="1">M44+M59+M72+M94+M125+M139+M157+M173+M186+M266+M282+M303+M320+M333+M356</f>
        <v>1108246</v>
      </c>
      <c r="N40" s="65">
        <f ca="1">N44+N59+N72+N94+N125+N139+N157+N173+N186+N266+N282+N303+N320+N333+N356</f>
        <v>519097.16</v>
      </c>
      <c r="O40" s="65">
        <f ca="1">IF(L40&gt;0,N40*100/L40,0)</f>
        <v>36.408810545496884</v>
      </c>
      <c r="P40" s="65">
        <f ca="1">IF(M40&gt;0,N40*100/M40,0)</f>
        <v>46.83952479864579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133266</v>
      </c>
      <c r="M44" s="84">
        <f ca="1">M45+M46</f>
        <v>133266</v>
      </c>
      <c r="N44" s="84">
        <f ca="1">N45+N46</f>
        <v>44570</v>
      </c>
      <c r="O44" s="84">
        <f ca="1">IF(L44&gt;0,N44*100/L44,0)</f>
        <v>33.444389416655412</v>
      </c>
      <c r="P44" s="84">
        <f ca="1">IF(M44&gt;0,N44*100/M44,0)</f>
        <v>33.444389416655412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133266</v>
      </c>
      <c r="M46" s="90">
        <f ca="1">M49+M52</f>
        <v>133266</v>
      </c>
      <c r="N46" s="90">
        <f ca="1">N49+N52</f>
        <v>44570</v>
      </c>
      <c r="O46" s="90">
        <f ca="1">IF(L46&gt;0,N46*100/L46,0)</f>
        <v>33.444389416655412</v>
      </c>
      <c r="P46" s="90">
        <f ca="1">IF(M46&gt;0,N46*100/M46,0)</f>
        <v>33.444389416655412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133266</v>
      </c>
      <c r="M47" s="48">
        <f ca="1">M48+M49</f>
        <v>133266</v>
      </c>
      <c r="N47" s="48">
        <f ca="1">N48+N49</f>
        <v>44570</v>
      </c>
      <c r="O47" s="48">
        <f ca="1">IF(L47&gt;0,N47*100/L47,0)</f>
        <v>33.444389416655412</v>
      </c>
      <c r="P47" s="48">
        <f ca="1">IF(M47&gt;0,N47*100/M47,0)</f>
        <v>33.444389416655412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IFERROR(__xludf.DUMMYFUNCTION("IMPORTRANGE(""https://docs.google.com/spreadsheets/d/1-uDff_7J0KD5mKrp0Vvzr7lt3OU09vwQwhkpOPPYv2Y/edit?usp=sharing"",""งบพรบ!P81"")"),133266)</f>
        <v>133266</v>
      </c>
      <c r="M49" s="48">
        <f ca="1">IFERROR(__xludf.DUMMYFUNCTION("IMPORTRANGE(""https://docs.google.com/spreadsheets/d/1-uDff_7J0KD5mKrp0Vvzr7lt3OU09vwQwhkpOPPYv2Y/edit?usp=sharing"",""งบพรบ!V81"")"),133266)</f>
        <v>133266</v>
      </c>
      <c r="N49" s="48">
        <f ca="1">IFERROR(__xludf.DUMMYFUNCTION("IMPORTRANGE(""https://docs.google.com/spreadsheets/d/1-uDff_7J0KD5mKrp0Vvzr7lt3OU09vwQwhkpOPPYv2Y/edit?usp=sharing"",""งบพรบ!Y81"")"),44570)</f>
        <v>44570</v>
      </c>
      <c r="O49" s="48">
        <f ca="1">IF(L49&gt;0,N49*100/L49,0)</f>
        <v>33.444389416655412</v>
      </c>
      <c r="P49" s="48">
        <f ca="1">IF(M49&gt;0,N49*100/M49,0)</f>
        <v>33.444389416655412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IFERROR(__xludf.DUMMYFUNCTION("IMPORTRANGE(""https://docs.google.com/spreadsheets/d/1-uDff_7J0KD5mKrp0Vvzr7lt3OU09vwQwhkpOPPYv2Y/edit?usp=sharing"",""งบพรบ!S81"")"),0)</f>
        <v>0</v>
      </c>
      <c r="M52" s="48">
        <f ca="1">IFERROR(__xludf.DUMMYFUNCTION("IMPORTRANGE(""https://docs.google.com/spreadsheets/d/1-uDff_7J0KD5mKrp0Vvzr7lt3OU09vwQwhkpOPPYv2Y/edit?usp=sharing"",""งบพรบ!W81"")"),0)</f>
        <v>0</v>
      </c>
      <c r="N52" s="48">
        <f ca="1">IFERROR(__xludf.DUMMYFUNCTION("IMPORTRANGE(""https://docs.google.com/spreadsheets/d/1-uDff_7J0KD5mKrp0Vvzr7lt3OU09vwQwhkpOPPYv2Y/edit?usp=sharing"",""งบพรบ!Z81"")"),0)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621300</v>
      </c>
      <c r="M59" s="113">
        <f ca="1">M60+M61</f>
        <v>468050</v>
      </c>
      <c r="N59" s="113">
        <f ca="1">N60+N61</f>
        <v>382741.99</v>
      </c>
      <c r="O59" s="113">
        <f ca="1">IF(L59&gt;0,N59*100/L59,0)</f>
        <v>61.603410590696924</v>
      </c>
      <c r="P59" s="113">
        <f ca="1">IF(M59&gt;0,N59*100/M59,0)</f>
        <v>81.77373998504433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621300</v>
      </c>
      <c r="M61" s="119">
        <f ca="1">M64+M67</f>
        <v>468050</v>
      </c>
      <c r="N61" s="119">
        <f ca="1">N64+N67</f>
        <v>382741.99</v>
      </c>
      <c r="O61" s="119">
        <f ca="1">IF(L61&gt;0,N61*100/L61,0)</f>
        <v>61.603410590696924</v>
      </c>
      <c r="P61" s="119">
        <f ca="1">IF(M61&gt;0,N61*100/M61,0)</f>
        <v>81.77373998504433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621300</v>
      </c>
      <c r="M62" s="48">
        <f ca="1">M63+M64</f>
        <v>468050</v>
      </c>
      <c r="N62" s="48">
        <f ca="1">N63+N64</f>
        <v>382741.99</v>
      </c>
      <c r="O62" s="48">
        <f ca="1">IF(L62&gt;0,N62*100/L62,0)</f>
        <v>61.603410590696924</v>
      </c>
      <c r="P62" s="48">
        <f ca="1">IF(M62&gt;0,N62*100/M62,0)</f>
        <v>81.77373998504433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IFERROR(__xludf.DUMMYFUNCTION("IMPORTRANGE(""https://docs.google.com/spreadsheets/d/1-uDff_7J0KD5mKrp0Vvzr7lt3OU09vwQwhkpOPPYv2Y/edit?usp=sharing"",""งบพรบ!AC81"")"),621300)</f>
        <v>621300</v>
      </c>
      <c r="M64" s="48">
        <f ca="1">IFERROR(__xludf.DUMMYFUNCTION("IMPORTRANGE(""https://docs.google.com/spreadsheets/d/1-uDff_7J0KD5mKrp0Vvzr7lt3OU09vwQwhkpOPPYv2Y/edit?usp=sharing"",""งบพรบ!AH81"")"),468050)</f>
        <v>468050</v>
      </c>
      <c r="N64" s="48">
        <f ca="1">IFERROR(__xludf.DUMMYFUNCTION("IMPORTRANGE(""https://docs.google.com/spreadsheets/d/1-uDff_7J0KD5mKrp0Vvzr7lt3OU09vwQwhkpOPPYv2Y/edit?usp=sharing"",""งบพรบ!AJ81"")"),382741.99)</f>
        <v>382741.99</v>
      </c>
      <c r="O64" s="48">
        <f ca="1">IF(L64&gt;0,N64*100/L64,0)</f>
        <v>61.603410590696924</v>
      </c>
      <c r="P64" s="48">
        <f ca="1">IF(M64&gt;0,N64*100/M64,0)</f>
        <v>81.77373998504433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IFERROR(__xludf.DUMMYFUNCTION("IMPORTRANGE(""https://docs.google.com/spreadsheets/d/1-uDff_7J0KD5mKrp0Vvzr7lt3OU09vwQwhkpOPPYv2Y/edit?usp=sharing"",""งบพรบ!AF81"")"),0)</f>
        <v>0</v>
      </c>
      <c r="M67" s="59">
        <f ca="1">IFERROR(__xludf.DUMMYFUNCTION("IMPORTRANGE(""https://docs.google.com/spreadsheets/d/1-uDff_7J0KD5mKrp0Vvzr7lt3OU09vwQwhkpOPPYv2Y/edit?usp=sharing"",""งบพรบ!AI81"")"),0)</f>
        <v>0</v>
      </c>
      <c r="N67" s="59">
        <f ca="1">IFERROR(__xludf.DUMMYFUNCTION("IMPORTRANGE(""https://docs.google.com/spreadsheets/d/1-uDff_7J0KD5mKrp0Vvzr7lt3OU09vwQwhkpOPPYv2Y/edit?usp=sharing"",""งบพรบ!AK81"")"),0)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hidden="1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IFERROR(__xludf.DUMMYFUNCTION("IMPORTRANGE(""https://docs.google.com/spreadsheets/d/1-uDff_7J0KD5mKrp0Vvzr7lt3OU09vwQwhkpOPPYv2Y/edit?usp=sharing"",""งบพรบ!AM81"")"),0)</f>
        <v>0</v>
      </c>
      <c r="M77" s="48">
        <f ca="1">IFERROR(__xludf.DUMMYFUNCTION("IMPORTRANGE(""https://docs.google.com/spreadsheets/d/1-uDff_7J0KD5mKrp0Vvzr7lt3OU09vwQwhkpOPPYv2Y/edit?usp=sharing"",""งบพรบ!AR81"")"),0)</f>
        <v>0</v>
      </c>
      <c r="N77" s="48">
        <f ca="1">IFERROR(__xludf.DUMMYFUNCTION("IMPORTRANGE(""https://docs.google.com/spreadsheets/d/1-uDff_7J0KD5mKrp0Vvzr7lt3OU09vwQwhkpOPPYv2Y/edit?usp=sharing"",""งบพรบ!AT81"")"),0)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IFERROR(__xludf.DUMMYFUNCTION("IMPORTRANGE(""https://docs.google.com/spreadsheets/d/1-uDff_7J0KD5mKrp0Vvzr7lt3OU09vwQwhkpOPPYv2Y/edit?usp=sharing"",""งบพรบ!AP81"")"),0)</f>
        <v>0</v>
      </c>
      <c r="M80" s="48">
        <f ca="1">IFERROR(__xludf.DUMMYFUNCTION("IMPORTRANGE(""https://docs.google.com/spreadsheets/d/1-uDff_7J0KD5mKrp0Vvzr7lt3OU09vwQwhkpOPPYv2Y/edit?usp=sharing"",""งบพรบ!AS81"")"),0)</f>
        <v>0</v>
      </c>
      <c r="N80" s="48">
        <f ca="1">IFERROR(__xludf.DUMMYFUNCTION("IMPORTRANGE(""https://docs.google.com/spreadsheets/d/1-uDff_7J0KD5mKrp0Vvzr7lt3OU09vwQwhkpOPPYv2Y/edit?usp=sharing"",""งบพรบ!AU81"")"),0)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IFERROR(__xludf.DUMMYFUNCTION("IMPORTRANGE(""https://docs.google.com/spreadsheets/d/1eHaY18a8A9IcSdp1K8H6x8fbOy06t2VsZHhMHf-1x7Y/edit?usp=sharing"",""แผน!H81"")"),0)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IFERROR(__xludf.DUMMYFUNCTION("IMPORTRANGE(""https://docs.google.com/spreadsheets/d/1eHaY18a8A9IcSdp1K8H6x8fbOy06t2VsZHhMHf-1x7Y/edit?usp=sharing"",""แผน!I81"")"),0)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IFERROR(__xludf.DUMMYFUNCTION("IMPORTRANGE(""https://docs.google.com/spreadsheets/d/1eHaY18a8A9IcSdp1K8H6x8fbOy06t2VsZHhMHf-1x7Y/edit?usp=sharing"",""แผน!F81"")"),0)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IFERROR(__xludf.DUMMYFUNCTION("IMPORTRANGE(""https://docs.google.com/spreadsheets/d/1eHaY18a8A9IcSdp1K8H6x8fbOy06t2VsZHhMHf-1x7Y/edit?usp=sharing"",""แผน!G81"")"),0)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IFERROR(__xludf.DUMMYFUNCTION("IMPORTRANGE(""https://docs.google.com/spreadsheets/d/1eHaY18a8A9IcSdp1K8H6x8fbOy06t2VsZHhMHf-1x7Y/edit?usp=sharing"",""แผน!D81"")"),0)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IFERROR(__xludf.DUMMYFUNCTION("IMPORTRANGE(""https://docs.google.com/spreadsheets/d/1eHaY18a8A9IcSdp1K8H6x8fbOy06t2VsZHhMHf-1x7Y/edit?usp=sharing"",""แผน!E81"")"),0)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IFERROR(__xludf.DUMMYFUNCTION("IMPORTRANGE(""https://docs.google.com/spreadsheets/d/1eHaY18a8A9IcSdp1K8H6x8fbOy06t2VsZHhMHf-1x7Y/edit?usp=sharing"",""แผน!J81"")"),0)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IFERROR(__xludf.DUMMYFUNCTION("IMPORTRANGE(""https://docs.google.com/spreadsheets/d/1-uDff_7J0KD5mKrp0Vvzr7lt3OU09vwQwhkpOPPYv2Y/edit?usp=sharing"",""งบพรบ!AW81"")"),0)</f>
        <v>0</v>
      </c>
      <c r="M99" s="48">
        <f ca="1">IFERROR(__xludf.DUMMYFUNCTION("IMPORTRANGE(""https://docs.google.com/spreadsheets/d/1-uDff_7J0KD5mKrp0Vvzr7lt3OU09vwQwhkpOPPYv2Y/edit?usp=sharing"",""งบพรบ!BB81"")"),0)</f>
        <v>0</v>
      </c>
      <c r="N99" s="48">
        <f ca="1">IFERROR(__xludf.DUMMYFUNCTION("IMPORTRANGE(""https://docs.google.com/spreadsheets/d/1-uDff_7J0KD5mKrp0Vvzr7lt3OU09vwQwhkpOPPYv2Y/edit?usp=sharing"",""งบพรบ!BD81"")"),0)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IFERROR(__xludf.DUMMYFUNCTION("IMPORTRANGE(""https://docs.google.com/spreadsheets/d/1-uDff_7J0KD5mKrp0Vvzr7lt3OU09vwQwhkpOPPYv2Y/edit?usp=sharing"",""งบพรบ!AZ81"")"),0)</f>
        <v>0</v>
      </c>
      <c r="M102" s="48">
        <f ca="1">IFERROR(__xludf.DUMMYFUNCTION("IMPORTRANGE(""https://docs.google.com/spreadsheets/d/1-uDff_7J0KD5mKrp0Vvzr7lt3OU09vwQwhkpOPPYv2Y/edit?usp=sharing"",""งบพรบ!BC81"")"),0)</f>
        <v>0</v>
      </c>
      <c r="N102" s="48">
        <f ca="1">IFERROR(__xludf.DUMMYFUNCTION("IMPORTRANGE(""https://docs.google.com/spreadsheets/d/1-uDff_7J0KD5mKrp0Vvzr7lt3OU09vwQwhkpOPPYv2Y/edit?usp=sharing"",""งบพรบ!BE81"")"),0)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IFERROR(__xludf.DUMMYFUNCTION("IMPORTRANGE(""https://docs.google.com/spreadsheets/d/1eHaY18a8A9IcSdp1K8H6x8fbOy06t2VsZHhMHf-1x7Y/edit?usp=sharing"",""แผน!N81"")"),0)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IFERROR(__xludf.DUMMYFUNCTION("IMPORTRANGE(""https://docs.google.com/spreadsheets/d/1eHaY18a8A9IcSdp1K8H6x8fbOy06t2VsZHhMHf-1x7Y/edit?usp=sharing"",""แผน!O81"")"),0)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IFERROR(__xludf.DUMMYFUNCTION("IMPORTRANGE(""https://docs.google.com/spreadsheets/d/1eHaY18a8A9IcSdp1K8H6x8fbOy06t2VsZHhMHf-1x7Y/edit?usp=sharing"",""แผน!R81"")"),0)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IFERROR(__xludf.DUMMYFUNCTION("IMPORTRANGE(""https://docs.google.com/spreadsheets/d/1-uDff_7J0KD5mKrp0Vvzr7lt3OU09vwQwhkpOPPYv2Y/edit?usp=sharing"",""งบพรบ!BG81"")"),0)</f>
        <v>0</v>
      </c>
      <c r="M130" s="178">
        <f ca="1">IFERROR(__xludf.DUMMYFUNCTION("IMPORTRANGE(""https://docs.google.com/spreadsheets/d/1-uDff_7J0KD5mKrp0Vvzr7lt3OU09vwQwhkpOPPYv2Y/edit?usp=sharing"",""งบพรบ!BL81"")"),0)</f>
        <v>0</v>
      </c>
      <c r="N130" s="178">
        <f ca="1">IFERROR(__xludf.DUMMYFUNCTION("IMPORTRANGE(""https://docs.google.com/spreadsheets/d/1-uDff_7J0KD5mKrp0Vvzr7lt3OU09vwQwhkpOPPYv2Y/edit?usp=sharing"",""งบพรบ!BN81"")"),0)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IFERROR(__xludf.DUMMYFUNCTION("IMPORTRANGE(""https://docs.google.com/spreadsheets/d/1-uDff_7J0KD5mKrp0Vvzr7lt3OU09vwQwhkpOPPYv2Y/edit?usp=sharing"",""งบพรบ!BJ81"")"),0)</f>
        <v>0</v>
      </c>
      <c r="M133" s="178">
        <f ca="1">IFERROR(__xludf.DUMMYFUNCTION("IMPORTRANGE(""https://docs.google.com/spreadsheets/d/1-uDff_7J0KD5mKrp0Vvzr7lt3OU09vwQwhkpOPPYv2Y/edit?usp=sharing"",""งบพรบ!BM81"")"),0)</f>
        <v>0</v>
      </c>
      <c r="N133" s="178">
        <f ca="1">IFERROR(__xludf.DUMMYFUNCTION("IMPORTRANGE(""https://docs.google.com/spreadsheets/d/1-uDff_7J0KD5mKrp0Vvzr7lt3OU09vwQwhkpOPPYv2Y/edit?usp=sharing"",""งบพรบ!BO81"")"),0)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hidden="1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hidden="1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hidden="1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hidden="1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hidden="1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0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hidden="1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0</v>
      </c>
      <c r="M139" s="141">
        <f ca="1">M140+M141</f>
        <v>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hidden="1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0</v>
      </c>
      <c r="M141" s="48">
        <f ca="1">M144+M147</f>
        <v>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hidden="1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0</v>
      </c>
      <c r="M142" s="48">
        <f ca="1">M143+M144</f>
        <v>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hidden="1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IFERROR(__xludf.DUMMYFUNCTION("IMPORTRANGE(""https://docs.google.com/spreadsheets/d/1-uDff_7J0KD5mKrp0Vvzr7lt3OU09vwQwhkpOPPYv2Y/edit?usp=sharing"",""งบพรบ!BQ81"")"),0)</f>
        <v>0</v>
      </c>
      <c r="M144" s="48">
        <f ca="1">IFERROR(__xludf.DUMMYFUNCTION("IMPORTRANGE(""https://docs.google.com/spreadsheets/d/1-uDff_7J0KD5mKrp0Vvzr7lt3OU09vwQwhkpOPPYv2Y/edit?usp=sharing"",""งบพรบ!BV81"")"),0)</f>
        <v>0</v>
      </c>
      <c r="N144" s="48">
        <f ca="1">IFERROR(__xludf.DUMMYFUNCTION("IMPORTRANGE(""https://docs.google.com/spreadsheets/d/1-uDff_7J0KD5mKrp0Vvzr7lt3OU09vwQwhkpOPPYv2Y/edit?usp=sharing"",""งบพรบ!BX81"")"),0)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hidden="1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hidden="1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IFERROR(__xludf.DUMMYFUNCTION("IMPORTRANGE(""https://docs.google.com/spreadsheets/d/1-uDff_7J0KD5mKrp0Vvzr7lt3OU09vwQwhkpOPPYv2Y/edit?usp=sharing"",""งบพรบ!BT81"")"),0)</f>
        <v>0</v>
      </c>
      <c r="M147" s="48">
        <f ca="1">IFERROR(__xludf.DUMMYFUNCTION("IMPORTRANGE(""https://docs.google.com/spreadsheets/d/1-uDff_7J0KD5mKrp0Vvzr7lt3OU09vwQwhkpOPPYv2Y/edit?usp=sharing"",""งบพรบ!BW81"")"),0)</f>
        <v>0</v>
      </c>
      <c r="N147" s="48">
        <f ca="1">IFERROR(__xludf.DUMMYFUNCTION("IMPORTRANGE(""https://docs.google.com/spreadsheets/d/1-uDff_7J0KD5mKrp0Vvzr7lt3OU09vwQwhkpOPPYv2Y/edit?usp=sharing"",""งบพรบ!BY81"")"),0)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hidden="1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hidden="1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hidden="1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IFERROR(__xludf.DUMMYFUNCTION("IMPORTRANGE(""https://docs.google.com/spreadsheets/d/1eHaY18a8A9IcSdp1K8H6x8fbOy06t2VsZHhMHf-1x7Y/edit?usp=sharing"",""แผน!U81"")"),0)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hidden="1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IFERROR(__xludf.DUMMYFUNCTION("IMPORTRANGE(""https://docs.google.com/spreadsheets/d/1eHaY18a8A9IcSdp1K8H6x8fbOy06t2VsZHhMHf-1x7Y/edit?usp=sharing"",""แผน!V81"")"),0)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hidden="1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IFERROR(__xludf.DUMMYFUNCTION("IMPORTRANGE(""https://docs.google.com/spreadsheets/d/1eHaY18a8A9IcSdp1K8H6x8fbOy06t2VsZHhMHf-1x7Y/edit?usp=sharing"",""แผน!W81"")"),0)</f>
        <v>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hidden="1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IFERROR(__xludf.DUMMYFUNCTION("IMPORTRANGE(""https://docs.google.com/spreadsheets/d/1eHaY18a8A9IcSdp1K8H6x8fbOy06t2VsZHhMHf-1x7Y/edit?usp=sharing"",""แผน!X81"")"),0)</f>
        <v>0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hidden="1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IFERROR(__xludf.DUMMYFUNCTION("IMPORTRANGE(""https://docs.google.com/spreadsheets/d/1eHaY18a8A9IcSdp1K8H6x8fbOy06t2VsZHhMHf-1x7Y/edit?usp=sharing"",""แผน!Y81"")"),0)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IFERROR(__xludf.DUMMYFUNCTION("IMPORTRANGE(""https://docs.google.com/spreadsheets/d/1-uDff_7J0KD5mKrp0Vvzr7lt3OU09vwQwhkpOPPYv2Y/edit?usp=sharing"",""งบพรบ!CA81"")"),0)</f>
        <v>0</v>
      </c>
      <c r="M162" s="48">
        <f ca="1">IFERROR(__xludf.DUMMYFUNCTION("IMPORTRANGE(""https://docs.google.com/spreadsheets/d/1-uDff_7J0KD5mKrp0Vvzr7lt3OU09vwQwhkpOPPYv2Y/edit?usp=sharing"",""งบพรบ!CF81"")"),0)</f>
        <v>0</v>
      </c>
      <c r="N162" s="48">
        <f ca="1">IFERROR(__xludf.DUMMYFUNCTION("IMPORTRANGE(""https://docs.google.com/spreadsheets/d/1-uDff_7J0KD5mKrp0Vvzr7lt3OU09vwQwhkpOPPYv2Y/edit?usp=sharing"",""งบพรบ!CH81"")"),0)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IFERROR(__xludf.DUMMYFUNCTION("IMPORTRANGE(""https://docs.google.com/spreadsheets/d/1-uDff_7J0KD5mKrp0Vvzr7lt3OU09vwQwhkpOPPYv2Y/edit?usp=sharing"",""งบพรบ!CD81"")"),0)</f>
        <v>0</v>
      </c>
      <c r="M165" s="48">
        <f ca="1">IFERROR(__xludf.DUMMYFUNCTION("IMPORTRANGE(""https://docs.google.com/spreadsheets/d/1-uDff_7J0KD5mKrp0Vvzr7lt3OU09vwQwhkpOPPYv2Y/edit?usp=sharing"",""งบพรบ!CG81"")"),0)</f>
        <v>0</v>
      </c>
      <c r="N165" s="48">
        <f ca="1">IFERROR(__xludf.DUMMYFUNCTION("IMPORTRANGE(""https://docs.google.com/spreadsheets/d/1-uDff_7J0KD5mKrp0Vvzr7lt3OU09vwQwhkpOPPYv2Y/edit?usp=sharing"",""งบพรบ!CI81"")"),0)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IFERROR(__xludf.DUMMYFUNCTION("IMPORTRANGE(""https://docs.google.com/spreadsheets/d/1eHaY18a8A9IcSdp1K8H6x8fbOy06t2VsZHhMHf-1x7Y/edit?usp=sharing"",""แผน!Z81"")"),0)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IFERROR(__xludf.DUMMYFUNCTION("IMPORTRANGE(""https://docs.google.com/spreadsheets/d/1eHaY18a8A9IcSdp1K8H6x8fbOy06t2VsZHhMHf-1x7Y/edit?usp=sharing"",""แผน!Z81"")"),0)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IFERROR(__xludf.DUMMYFUNCTION("IMPORTRANGE(""https://docs.google.com/spreadsheets/d/1eHaY18a8A9IcSdp1K8H6x8fbOy06t2VsZHhMHf-1x7Y/edit?usp=sharing"",""แผน!Z81"")"),0)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7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19590</v>
      </c>
      <c r="M173" s="141">
        <f ca="1">M174+M175</f>
        <v>19590</v>
      </c>
      <c r="N173" s="141">
        <f ca="1">N174+N175</f>
        <v>0</v>
      </c>
      <c r="O173" s="141">
        <f ca="1">IF(L173&gt;0,N173*100/L173,0)</f>
        <v>0</v>
      </c>
      <c r="P173" s="141">
        <f ca="1">IF(M173&gt;0,N173*100/M173,0)</f>
        <v>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19590</v>
      </c>
      <c r="M175" s="48">
        <f ca="1">M178+M181</f>
        <v>19590</v>
      </c>
      <c r="N175" s="48">
        <f ca="1">N178+N181</f>
        <v>0</v>
      </c>
      <c r="O175" s="48">
        <f ca="1">IF(L175&gt;0,N175*100/L175,0)</f>
        <v>0</v>
      </c>
      <c r="P175" s="48">
        <f ca="1">IF(M175&gt;0,N175*100/M175,0)</f>
        <v>0</v>
      </c>
    </row>
    <row r="176" spans="1:16" ht="18.75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19590</v>
      </c>
      <c r="M176" s="48">
        <f ca="1">M177+M178</f>
        <v>19590</v>
      </c>
      <c r="N176" s="48">
        <f ca="1">N177+N178</f>
        <v>0</v>
      </c>
      <c r="O176" s="48">
        <f ca="1">IF(L176&gt;0,N176*100/L176,0)</f>
        <v>0</v>
      </c>
      <c r="P176" s="48">
        <f ca="1">IF(M176&gt;0,N176*100/M176,0)</f>
        <v>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IFERROR(__xludf.DUMMYFUNCTION("IMPORTRANGE(""https://docs.google.com/spreadsheets/d/1-uDff_7J0KD5mKrp0Vvzr7lt3OU09vwQwhkpOPPYv2Y/edit?usp=sharing"",""งบพรบ!CK81"")"),19590)</f>
        <v>19590</v>
      </c>
      <c r="M178" s="48">
        <f ca="1">IFERROR(__xludf.DUMMYFUNCTION("IMPORTRANGE(""https://docs.google.com/spreadsheets/d/1-uDff_7J0KD5mKrp0Vvzr7lt3OU09vwQwhkpOPPYv2Y/edit?usp=sharing"",""งบพรบ!CP81"")"),19590)</f>
        <v>19590</v>
      </c>
      <c r="N178" s="48">
        <f ca="1">IFERROR(__xludf.DUMMYFUNCTION("IMPORTRANGE(""https://docs.google.com/spreadsheets/d/1-uDff_7J0KD5mKrp0Vvzr7lt3OU09vwQwhkpOPPYv2Y/edit?usp=sharing"",""งบพรบ!CR81"")"),0)</f>
        <v>0</v>
      </c>
      <c r="O178" s="48">
        <f ca="1">IF(L178&gt;0,N178*100/L178,0)</f>
        <v>0</v>
      </c>
      <c r="P178" s="48">
        <f ca="1">IF(M178&gt;0,N178*100/M178,0)</f>
        <v>0</v>
      </c>
    </row>
    <row r="179" spans="1:16" ht="18.75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IFERROR(__xludf.DUMMYFUNCTION("IMPORTRANGE(""https://docs.google.com/spreadsheets/d/1-uDff_7J0KD5mKrp0Vvzr7lt3OU09vwQwhkpOPPYv2Y/edit?usp=sharing"",""งบพรบ!CN81"")"),0)</f>
        <v>0</v>
      </c>
      <c r="M181" s="48">
        <f ca="1">IFERROR(__xludf.DUMMYFUNCTION("IMPORTRANGE(""https://docs.google.com/spreadsheets/d/1-uDff_7J0KD5mKrp0Vvzr7lt3OU09vwQwhkpOPPYv2Y/edit?usp=sharing"",""งบพรบ!CQ81"")"),0)</f>
        <v>0</v>
      </c>
      <c r="N181" s="48">
        <f ca="1">IFERROR(__xludf.DUMMYFUNCTION("IMPORTRANGE(""https://docs.google.com/spreadsheets/d/1-uDff_7J0KD5mKrp0Vvzr7lt3OU09vwQwhkpOPPYv2Y/edit?usp=sharing"",""งบพรบ!CS81"")"),0)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IFERROR(__xludf.DUMMYFUNCTION("IMPORTRANGE(""https://docs.google.com/spreadsheets/d/1eHaY18a8A9IcSdp1K8H6x8fbOy06t2VsZHhMHf-1x7Y/edit?usp=sharing"",""แผน!AA81"")"),7)</f>
        <v>7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121500</v>
      </c>
      <c r="M186" s="141">
        <f ca="1">M187+M188</f>
        <v>81500</v>
      </c>
      <c r="N186" s="141">
        <f ca="1">N187+N188</f>
        <v>38438.5</v>
      </c>
      <c r="O186" s="141">
        <f ca="1">IF(L186&gt;0,N186*100/L186,0)</f>
        <v>31.636625514403292</v>
      </c>
      <c r="P186" s="141">
        <f ca="1">IF(M186&gt;0,N186*100/M186,0)</f>
        <v>47.163803680981594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121500</v>
      </c>
      <c r="M188" s="48">
        <f ca="1">M191+M194</f>
        <v>81500</v>
      </c>
      <c r="N188" s="48">
        <f ca="1">N191+N194</f>
        <v>38438.5</v>
      </c>
      <c r="O188" s="48">
        <f ca="1">IF(L188&gt;0,N188*100/L188,0)</f>
        <v>31.636625514403292</v>
      </c>
      <c r="P188" s="48">
        <f ca="1">IF(M188&gt;0,N188*100/M188,0)</f>
        <v>47.163803680981594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121500</v>
      </c>
      <c r="M189" s="48">
        <f ca="1">M190+M191</f>
        <v>81500</v>
      </c>
      <c r="N189" s="48">
        <f ca="1">N190+N191</f>
        <v>38438.5</v>
      </c>
      <c r="O189" s="48">
        <f ca="1">IF(L189&gt;0,N189*100/L189,0)</f>
        <v>31.636625514403292</v>
      </c>
      <c r="P189" s="48">
        <f ca="1">IF(M189&gt;0,N189*100/M189,0)</f>
        <v>47.163803680981594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IFERROR(__xludf.DUMMYFUNCTION("IMPORTRANGE(""https://docs.google.com/spreadsheets/d/1-uDff_7J0KD5mKrp0Vvzr7lt3OU09vwQwhkpOPPYv2Y/edit?usp=sharing"",""งบพรบ!CU81"")"),121500)</f>
        <v>121500</v>
      </c>
      <c r="M191" s="48">
        <f ca="1">IFERROR(__xludf.DUMMYFUNCTION("IMPORTRANGE(""https://docs.google.com/spreadsheets/d/1-uDff_7J0KD5mKrp0Vvzr7lt3OU09vwQwhkpOPPYv2Y/edit?usp=sharing"",""งบพรบ!CZ81"")"),81500)</f>
        <v>81500</v>
      </c>
      <c r="N191" s="48">
        <f ca="1">IFERROR(__xludf.DUMMYFUNCTION("IMPORTRANGE(""https://docs.google.com/spreadsheets/d/1-uDff_7J0KD5mKrp0Vvzr7lt3OU09vwQwhkpOPPYv2Y/edit?usp=sharing"",""งบพรบ!DB81"")"),38438.5)</f>
        <v>38438.5</v>
      </c>
      <c r="O191" s="48">
        <f ca="1">IF(L191&gt;0,N191*100/L191,0)</f>
        <v>31.636625514403292</v>
      </c>
      <c r="P191" s="48">
        <f ca="1">IF(M191&gt;0,N191*100/M191,0)</f>
        <v>47.163803680981594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IFERROR(__xludf.DUMMYFUNCTION("IMPORTRANGE(""https://docs.google.com/spreadsheets/d/1-uDff_7J0KD5mKrp0Vvzr7lt3OU09vwQwhkpOPPYv2Y/edit?usp=sharing"",""งบพรบ!CX81"")"),0)</f>
        <v>0</v>
      </c>
      <c r="M194" s="48">
        <f ca="1">IFERROR(__xludf.DUMMYFUNCTION("IMPORTRANGE(""https://docs.google.com/spreadsheets/d/1-uDff_7J0KD5mKrp0Vvzr7lt3OU09vwQwhkpOPPYv2Y/edit?usp=sharing"",""งบพรบ!DA81"")"),0)</f>
        <v>0</v>
      </c>
      <c r="N194" s="48">
        <f ca="1">IFERROR(__xludf.DUMMYFUNCTION("IMPORTRANGE(""https://docs.google.com/spreadsheets/d/1-uDff_7J0KD5mKrp0Vvzr7lt3OU09vwQwhkpOPPYv2Y/edit?usp=sharing"",""งบพรบ!DC81"")"),0)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1</v>
      </c>
      <c r="K195" s="241">
        <f ca="1">IF(I195&gt;0,J195*100/I195,0)</f>
        <v>25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IFERROR(__xludf.DUMMYFUNCTION("IMPORTRANGE(""https://docs.google.com/spreadsheets/d/1eHaY18a8A9IcSdp1K8H6x8fbOy06t2VsZHhMHf-1x7Y/edit?usp=sharing"",""แผน!AB81"")"),6000)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IFERROR(__xludf.DUMMYFUNCTION("IMPORTRANGE(""https://docs.google.com/spreadsheets/d/1eHaY18a8A9IcSdp1K8H6x8fbOy06t2VsZHhMHf-1x7Y/edit?usp=sharing"",""แผน!AE81"")"),4)</f>
        <v>4</v>
      </c>
      <c r="J198" s="163">
        <v>1</v>
      </c>
      <c r="K198" s="48">
        <f ca="1">IF(I198&gt;0,J198*100/I198,0)</f>
        <v>25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28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28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2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29000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IFERROR(__xludf.DUMMYFUNCTION("IMPORTRANGE(""https://docs.google.com/spreadsheets/d/1eHaY18a8A9IcSdp1K8H6x8fbOy06t2VsZHhMHf-1x7Y/edit?usp=sharing"",""แผน!AG81"")"),2000)</f>
        <v>2000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IFERROR(__xludf.DUMMYFUNCTION("IMPORTRANGE(""https://docs.google.com/spreadsheets/d/1eHaY18a8A9IcSdp1K8H6x8fbOy06t2VsZHhMHf-1x7Y/edit?usp=sharing"",""แผน!AH81"")"),0)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IFERROR(__xludf.DUMMYFUNCTION("IMPORTRANGE(""https://docs.google.com/spreadsheets/d/1eHaY18a8A9IcSdp1K8H6x8fbOy06t2VsZHhMHf-1x7Y/edit?usp=sharing"",""แผน!AI81"")"),16000)</f>
        <v>16000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IFERROR(__xludf.DUMMYFUNCTION("IMPORTRANGE(""https://docs.google.com/spreadsheets/d/1eHaY18a8A9IcSdp1K8H6x8fbOy06t2VsZHhMHf-1x7Y/edit?usp=sharing"",""แผน!AJ81"")"),11000)</f>
        <v>11000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IFERROR(__xludf.DUMMYFUNCTION("IMPORTRANGE(""https://docs.google.com/spreadsheets/d/1eHaY18a8A9IcSdp1K8H6x8fbOy06t2VsZHhMHf-1x7Y/edit?usp=sharing"",""แผน!AK81"")"),2)</f>
        <v>2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IFERROR(__xludf.DUMMYFUNCTION("IMPORTRANGE(""https://docs.google.com/spreadsheets/d/1eHaY18a8A9IcSdp1K8H6x8fbOy06t2VsZHhMHf-1x7Y/edit?usp=sharing"",""แผน!AK81"")"),2)</f>
        <v>2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IFERROR(__xludf.DUMMYFUNCTION("IMPORTRANGE(""https://docs.google.com/spreadsheets/d/1eHaY18a8A9IcSdp1K8H6x8fbOy06t2VsZHhMHf-1x7Y/edit?usp=sharing"",""แผน!AK81"")"),2)</f>
        <v>2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IFERROR(__xludf.DUMMYFUNCTION("IMPORTRANGE(""https://docs.google.com/spreadsheets/d/1eHaY18a8A9IcSdp1K8H6x8fbOy06t2VsZHhMHf-1x7Y/edit?usp=sharing"",""แผน!AM81"")"),0)</f>
        <v>0</v>
      </c>
      <c r="M215" s="47"/>
      <c r="N215" s="249">
        <v>0</v>
      </c>
      <c r="O215" s="146"/>
      <c r="P215" s="47"/>
    </row>
    <row r="216" spans="1:16" ht="18.75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IFERROR(__xludf.DUMMYFUNCTION("IMPORTRANGE(""https://docs.google.com/spreadsheets/d/1eHaY18a8A9IcSdp1K8H6x8fbOy06t2VsZHhMHf-1x7Y/edit?usp=sharing"",""แผน!AN81"")"),0)</f>
        <v>0</v>
      </c>
      <c r="M216" s="47"/>
      <c r="N216" s="249">
        <v>0</v>
      </c>
      <c r="O216" s="146"/>
      <c r="P216" s="47"/>
    </row>
    <row r="217" spans="1:16" ht="18.75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IFERROR(__xludf.DUMMYFUNCTION("IMPORTRANGE(""https://docs.google.com/spreadsheets/d/1eHaY18a8A9IcSdp1K8H6x8fbOy06t2VsZHhMHf-1x7Y/edit?usp=sharing"",""แผน!AO81"")"),0)</f>
        <v>0</v>
      </c>
      <c r="M217" s="47"/>
      <c r="N217" s="249">
        <v>0</v>
      </c>
      <c r="O217" s="146"/>
      <c r="P217" s="47"/>
    </row>
    <row r="218" spans="1:16" ht="19.5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IFERROR(__xludf.DUMMYFUNCTION("IMPORTRANGE(""https://docs.google.com/spreadsheets/d/1eHaY18a8A9IcSdp1K8H6x8fbOy06t2VsZHhMHf-1x7Y/edit?usp=sharing"",""แผน!AP81"")"),0)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IFERROR(__xludf.DUMMYFUNCTION("IMPORTRANGE(""https://docs.google.com/spreadsheets/d/1eHaY18a8A9IcSdp1K8H6x8fbOy06t2VsZHhMHf-1x7Y/edit?usp=sharing"",""แผน!AP81"")"),0)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20000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IFERROR(__xludf.DUMMYFUNCTION("IMPORTRANGE(""https://docs.google.com/spreadsheets/d/1eHaY18a8A9IcSdp1K8H6x8fbOy06t2VsZHhMHf-1x7Y/edit?usp=sharing"",""แผน!AR81"")"),3000)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IFERROR(__xludf.DUMMYFUNCTION("IMPORTRANGE(""https://docs.google.com/spreadsheets/d/1eHaY18a8A9IcSdp1K8H6x8fbOy06t2VsZHhMHf-1x7Y/edit?usp=sharing"",""แผน!AS81"")"),1500)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IFERROR(__xludf.DUMMYFUNCTION("IMPORTRANGE(""https://docs.google.com/spreadsheets/d/1eHaY18a8A9IcSdp1K8H6x8fbOy06t2VsZHhMHf-1x7Y/edit?usp=sharing"",""แผน!AT81"")"),0)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IFERROR(__xludf.DUMMYFUNCTION("IMPORTRANGE(""https://docs.google.com/spreadsheets/d/1eHaY18a8A9IcSdp1K8H6x8fbOy06t2VsZHhMHf-1x7Y/edit?usp=sharing"",""แผน!AV81"")"),20000)</f>
        <v>20000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IFERROR(__xludf.DUMMYFUNCTION("IMPORTRANGE(""https://docs.google.com/spreadsheets/d/1eHaY18a8A9IcSdp1K8H6x8fbOy06t2VsZHhMHf-1x7Y/edit?usp=sharing"",""แผน!AV81"")"),20000)</f>
        <v>20000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IFERROR(__xludf.DUMMYFUNCTION("IMPORTRANGE(""https://docs.google.com/spreadsheets/d/1eHaY18a8A9IcSdp1K8H6x8fbOy06t2VsZHhMHf-1x7Y/edit?usp=sharing"",""แผน!AU81"")"),0)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IFERROR(__xludf.DUMMYFUNCTION("IMPORTRANGE(""https://docs.google.com/spreadsheets/d/1eHaY18a8A9IcSdp1K8H6x8fbOy06t2VsZHhMHf-1x7Y/edit?usp=sharing"",""แผน!AX81"")"),0)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IFERROR(__xludf.DUMMYFUNCTION("IMPORTRANGE(""https://docs.google.com/spreadsheets/d/1eHaY18a8A9IcSdp1K8H6x8fbOy06t2VsZHhMHf-1x7Y/edit?usp=sharing"",""แผน!AY81"")"),0)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IFERROR(__xludf.DUMMYFUNCTION("IMPORTRANGE(""https://docs.google.com/spreadsheets/d/1eHaY18a8A9IcSdp1K8H6x8fbOy06t2VsZHhMHf-1x7Y/edit?usp=sharing"",""แผน!AZ81"")"),0)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IFERROR(__xludf.DUMMYFUNCTION("IMPORTRANGE(""https://docs.google.com/spreadsheets/d/1eHaY18a8A9IcSdp1K8H6x8fbOy06t2VsZHhMHf-1x7Y/edit?usp=sharing"",""แผน!BA81"")"),0)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IFERROR(__xludf.DUMMYFUNCTION("IMPORTRANGE(""https://docs.google.com/spreadsheets/d/1eHaY18a8A9IcSdp1K8H6x8fbOy06t2VsZHhMHf-1x7Y/edit?usp=sharing"",""แผน!BG81"")"),0)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IFERROR(__xludf.DUMMYFUNCTION("IMPORTRANGE(""https://docs.google.com/spreadsheets/d/1eHaY18a8A9IcSdp1K8H6x8fbOy06t2VsZHhMHf-1x7Y/edit?usp=sharing"",""แผน!BB81"")"),0)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IFERROR(__xludf.DUMMYFUNCTION("IMPORTRANGE(""https://docs.google.com/spreadsheets/d/1eHaY18a8A9IcSdp1K8H6x8fbOy06t2VsZHhMHf-1x7Y/edit?usp=sharing"",""แผน!BC81"")"),0)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IFERROR(__xludf.DUMMYFUNCTION("IMPORTRANGE(""https://docs.google.com/spreadsheets/d/1eHaY18a8A9IcSdp1K8H6x8fbOy06t2VsZHhMHf-1x7Y/edit?usp=sharing"",""แผน!BD81"")"),0)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IFERROR(__xludf.DUMMYFUNCTION("IMPORTRANGE(""https://docs.google.com/spreadsheets/d/1eHaY18a8A9IcSdp1K8H6x8fbOy06t2VsZHhMHf-1x7Y/edit?usp=sharing"",""แผน!BE81"")"),0)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IFERROR(__xludf.DUMMYFUNCTION("IMPORTRANGE(""https://docs.google.com/spreadsheets/d/1eHaY18a8A9IcSdp1K8H6x8fbOy06t2VsZHhMHf-1x7Y/edit?usp=sharing"",""แผน!BH81"")"),0)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IFERROR(__xludf.DUMMYFUNCTION("IMPORTRANGE(""https://docs.google.com/spreadsheets/d/1-uDff_7J0KD5mKrp0Vvzr7lt3OU09vwQwhkpOPPYv2Y/edit?usp=sharing"",""งบพรบ!DE81"")"),0)</f>
        <v>0</v>
      </c>
      <c r="M271" s="51">
        <f ca="1">IFERROR(__xludf.DUMMYFUNCTION("IMPORTRANGE(""https://docs.google.com/spreadsheets/d/1-uDff_7J0KD5mKrp0Vvzr7lt3OU09vwQwhkpOPPYv2Y/edit?usp=sharing"",""งบพรบ!DJ81"")"),0)</f>
        <v>0</v>
      </c>
      <c r="N271" s="51">
        <f ca="1">IFERROR(__xludf.DUMMYFUNCTION("IMPORTRANGE(""https://docs.google.com/spreadsheets/d/1-uDff_7J0KD5mKrp0Vvzr7lt3OU09vwQwhkpOPPYv2Y/edit?usp=sharing"",""งบพรบ!DL81"")"),0)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IFERROR(__xludf.DUMMYFUNCTION("IMPORTRANGE(""https://docs.google.com/spreadsheets/d/1-uDff_7J0KD5mKrp0Vvzr7lt3OU09vwQwhkpOPPYv2Y/edit?usp=sharing"",""งบพรบ!DH81"")"),0)</f>
        <v>0</v>
      </c>
      <c r="M274" s="51">
        <f ca="1">IFERROR(__xludf.DUMMYFUNCTION("IMPORTRANGE(""https://docs.google.com/spreadsheets/d/1-uDff_7J0KD5mKrp0Vvzr7lt3OU09vwQwhkpOPPYv2Y/edit?usp=sharing"",""งบพรบ!DK81"")"),0)</f>
        <v>0</v>
      </c>
      <c r="N274" s="51">
        <f ca="1">IFERROR(__xludf.DUMMYFUNCTION("IMPORTRANGE(""https://docs.google.com/spreadsheets/d/1-uDff_7J0KD5mKrp0Vvzr7lt3OU09vwQwhkpOPPYv2Y/edit?usp=sharing"",""งบพรบ!DM81"")"),0)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IFERROR(__xludf.DUMMYFUNCTION("IMPORTRANGE(""https://docs.google.com/spreadsheets/d/1-uDff_7J0KD5mKrp0Vvzr7lt3OU09vwQwhkpOPPYv2Y/edit?usp=sharing"",""งบพรบ!DO81"")"),0)</f>
        <v>0</v>
      </c>
      <c r="M287" s="48">
        <f ca="1">IFERROR(__xludf.DUMMYFUNCTION("IMPORTRANGE(""https://docs.google.com/spreadsheets/d/1-uDff_7J0KD5mKrp0Vvzr7lt3OU09vwQwhkpOPPYv2Y/edit?usp=sharing"",""งบพรบ!DT81"")"),0)</f>
        <v>0</v>
      </c>
      <c r="N287" s="48">
        <f ca="1">IFERROR(__xludf.DUMMYFUNCTION("IMPORTRANGE(""https://docs.google.com/spreadsheets/d/1-uDff_7J0KD5mKrp0Vvzr7lt3OU09vwQwhkpOPPYv2Y/edit?usp=sharing"",""งบพรบ!DV81"")"),0)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IFERROR(__xludf.DUMMYFUNCTION("IMPORTRANGE(""https://docs.google.com/spreadsheets/d/1-uDff_7J0KD5mKrp0Vvzr7lt3OU09vwQwhkpOPPYv2Y/edit?usp=sharing"",""งบพรบ!DR81"")"),0)</f>
        <v>0</v>
      </c>
      <c r="M290" s="48">
        <f ca="1">IFERROR(__xludf.DUMMYFUNCTION("IMPORTRANGE(""https://docs.google.com/spreadsheets/d/1-uDff_7J0KD5mKrp0Vvzr7lt3OU09vwQwhkpOPPYv2Y/edit?usp=sharing"",""งบพรบ!DU81"")"),0)</f>
        <v>0</v>
      </c>
      <c r="N290" s="48">
        <f ca="1">IFERROR(__xludf.DUMMYFUNCTION("IMPORTRANGE(""https://docs.google.com/spreadsheets/d/1-uDff_7J0KD5mKrp0Vvzr7lt3OU09vwQwhkpOPPYv2Y/edit?usp=sharing"",""งบพรบ!DW81"")"),0)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IFERROR(__xludf.DUMMYFUNCTION("IMPORTRANGE(""https://docs.google.com/spreadsheets/d/1eHaY18a8A9IcSdp1K8H6x8fbOy06t2VsZHhMHf-1x7Y/edit?usp=sharing"",""แผน!EE81"")"),0)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IFERROR(__xludf.DUMMYFUNCTION("IMPORTRANGE(""https://docs.google.com/spreadsheets/d/1eHaY18a8A9IcSdp1K8H6x8fbOy06t2VsZHhMHf-1x7Y/edit?usp=sharing"",""แผน!ED81"")"),0)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IFERROR(__xludf.DUMMYFUNCTION("IMPORTRANGE(""https://docs.google.com/spreadsheets/d/1eHaY18a8A9IcSdp1K8H6x8fbOy06t2VsZHhMHf-1x7Y/edit?usp=sharing"",""แผน!ED81"")"),0)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IFERROR(__xludf.DUMMYFUNCTION("IMPORTRANGE(""https://docs.google.com/spreadsheets/d/1eHaY18a8A9IcSdp1K8H6x8fbOy06t2VsZHhMHf-1x7Y/edit?usp=sharing"",""แผน!ED81"")"),0)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IFERROR(__xludf.DUMMYFUNCTION("IMPORTRANGE(""https://docs.google.com/spreadsheets/d/1-uDff_7J0KD5mKrp0Vvzr7lt3OU09vwQwhkpOPPYv2Y/edit?usp=sharing"",""งบพรบ!DY81"")"),0)</f>
        <v>0</v>
      </c>
      <c r="M308" s="48">
        <f ca="1">IFERROR(__xludf.DUMMYFUNCTION("IMPORTRANGE(""https://docs.google.com/spreadsheets/d/1-uDff_7J0KD5mKrp0Vvzr7lt3OU09vwQwhkpOPPYv2Y/edit?usp=sharing"",""งบพรบ!ED81"")"),0)</f>
        <v>0</v>
      </c>
      <c r="N308" s="48">
        <f ca="1">IFERROR(__xludf.DUMMYFUNCTION("IMPORTRANGE(""https://docs.google.com/spreadsheets/d/1-uDff_7J0KD5mKrp0Vvzr7lt3OU09vwQwhkpOPPYv2Y/edit?usp=sharing"",""งบพรบ!EF81"")"),0)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IFERROR(__xludf.DUMMYFUNCTION("IMPORTRANGE(""https://docs.google.com/spreadsheets/d/1-uDff_7J0KD5mKrp0Vvzr7lt3OU09vwQwhkpOPPYv2Y/edit?usp=sharing"",""งบพรบ!EB81"")"),0)</f>
        <v>0</v>
      </c>
      <c r="M311" s="48">
        <f ca="1">IFERROR(__xludf.DUMMYFUNCTION("IMPORTRANGE(""https://docs.google.com/spreadsheets/d/1-uDff_7J0KD5mKrp0Vvzr7lt3OU09vwQwhkpOPPYv2Y/edit?usp=sharing"",""งบพรบ!EE81"")"),0)</f>
        <v>0</v>
      </c>
      <c r="N311" s="48">
        <f ca="1">IFERROR(__xludf.DUMMYFUNCTION("IMPORTRANGE(""https://docs.google.com/spreadsheets/d/1-uDff_7J0KD5mKrp0Vvzr7lt3OU09vwQwhkpOPPYv2Y/edit?usp=sharing"",""งบพรบ!EG81"")"),0)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IFERROR(__xludf.DUMMYFUNCTION("IMPORTRANGE(""https://docs.google.com/spreadsheets/d/1eHaY18a8A9IcSdp1K8H6x8fbOy06t2VsZHhMHf-1x7Y/edit?usp=sharing"",""แผน!EF81"")"),0)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IFERROR(__xludf.DUMMYFUNCTION("IMPORTRANGE(""https://docs.google.com/spreadsheets/d/1eHaY18a8A9IcSdp1K8H6x8fbOy06t2VsZHhMHf-1x7Y/edit?usp=sharing"",""แผน!EG81"")"),0)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IFERROR(__xludf.DUMMYFUNCTION("IMPORTRANGE(""https://docs.google.com/spreadsheets/d/1eHaY18a8A9IcSdp1K8H6x8fbOy06t2VsZHhMHf-1x7Y/edit?usp=sharing"",""แผน!EH81"")"),0)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IFERROR(__xludf.DUMMYFUNCTION("IMPORTRANGE(""https://docs.google.com/spreadsheets/d/1eHaY18a8A9IcSdp1K8H6x8fbOy06t2VsZHhMHf-1x7Y/edit?usp=sharing"",""แผน!EI81"")"),0)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hidden="1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IFERROR(__xludf.DUMMYFUNCTION("IMPORTRANGE(""https://docs.google.com/spreadsheets/d/1-uDff_7J0KD5mKrp0Vvzr7lt3OU09vwQwhkpOPPYv2Y/edit?usp=sharing"",""งบพรบ!EI81"")"),0)</f>
        <v>0</v>
      </c>
      <c r="M325" s="48">
        <f ca="1">IFERROR(__xludf.DUMMYFUNCTION("IMPORTRANGE(""https://docs.google.com/spreadsheets/d/1-uDff_7J0KD5mKrp0Vvzr7lt3OU09vwQwhkpOPPYv2Y/edit?usp=sharing"",""งบพรบ!EN81"")"),0)</f>
        <v>0</v>
      </c>
      <c r="N325" s="48">
        <f ca="1">IFERROR(__xludf.DUMMYFUNCTION("IMPORTRANGE(""https://docs.google.com/spreadsheets/d/1-uDff_7J0KD5mKrp0Vvzr7lt3OU09vwQwhkpOPPYv2Y/edit?usp=sharing"",""งบพรบ!EP81"")"),0)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IFERROR(__xludf.DUMMYFUNCTION("IMPORTRANGE(""https://docs.google.com/spreadsheets/d/1-uDff_7J0KD5mKrp0Vvzr7lt3OU09vwQwhkpOPPYv2Y/edit?usp=sharing"",""งบพรบ!EL81"")"),0)</f>
        <v>0</v>
      </c>
      <c r="M328" s="48">
        <f ca="1">IFERROR(__xludf.DUMMYFUNCTION("IMPORTRANGE(""https://docs.google.com/spreadsheets/d/1-uDff_7J0KD5mKrp0Vvzr7lt3OU09vwQwhkpOPPYv2Y/edit?usp=sharing"",""งบพรบ!EO81"")"),0)</f>
        <v>0</v>
      </c>
      <c r="N328" s="48">
        <f ca="1">IFERROR(__xludf.DUMMYFUNCTION("IMPORTRANGE(""https://docs.google.com/spreadsheets/d/1-uDff_7J0KD5mKrp0Vvzr7lt3OU09vwQwhkpOPPYv2Y/edit?usp=sharing"",""งบพรบ!EQ81"")"),0)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IFERROR(__xludf.DUMMYFUNCTION("IMPORTRANGE(""https://docs.google.com/spreadsheets/d/1eHaY18a8A9IcSdp1K8H6x8fbOy06t2VsZHhMHf-1x7Y/edit?usp=sharing"",""แผน!EJ81"")"),0)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540</v>
      </c>
      <c r="J332" s="352">
        <f ca="1">J344+J347+J348+J349+J353</f>
        <v>176</v>
      </c>
      <c r="K332" s="353">
        <f ca="1">IF(I332&gt;0,J332*100/I332,0)</f>
        <v>32.592592592592595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103000</v>
      </c>
      <c r="M333" s="141">
        <f ca="1">M334+M335</f>
        <v>83350</v>
      </c>
      <c r="N333" s="141">
        <f ca="1">N334+N335</f>
        <v>2080</v>
      </c>
      <c r="O333" s="141">
        <f ca="1">IF(L333&gt;0,N333*100/L333,0)</f>
        <v>2.0194174757281553</v>
      </c>
      <c r="P333" s="141">
        <f ca="1">IF(M333&gt;0,N333*100/M333,0)</f>
        <v>2.4955008998200361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103000</v>
      </c>
      <c r="M335" s="48">
        <f ca="1">M338+M341</f>
        <v>83350</v>
      </c>
      <c r="N335" s="48">
        <f ca="1">N338+N341</f>
        <v>2080</v>
      </c>
      <c r="O335" s="48">
        <f ca="1">IF(L335&gt;0,N335*100/L335,0)</f>
        <v>2.0194174757281553</v>
      </c>
      <c r="P335" s="48">
        <f ca="1">IF(M335&gt;0,N335*100/M335,0)</f>
        <v>2.4955008998200361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103000</v>
      </c>
      <c r="M336" s="48">
        <f ca="1">M337+M338</f>
        <v>83350</v>
      </c>
      <c r="N336" s="48">
        <f ca="1">N337+N338</f>
        <v>2080</v>
      </c>
      <c r="O336" s="48">
        <f ca="1">IF(L336&gt;0,N336*100/L336,0)</f>
        <v>2.0194174757281553</v>
      </c>
      <c r="P336" s="48">
        <f ca="1">IF(M336&gt;0,N336*100/M336,0)</f>
        <v>2.4955008998200361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IFERROR(__xludf.DUMMYFUNCTION("IMPORTRANGE(""https://docs.google.com/spreadsheets/d/1-uDff_7J0KD5mKrp0Vvzr7lt3OU09vwQwhkpOPPYv2Y/edit?usp=sharing"",""งบพรบ!ES81"")"),103000)</f>
        <v>103000</v>
      </c>
      <c r="M338" s="48">
        <f ca="1">IFERROR(__xludf.DUMMYFUNCTION("IMPORTRANGE(""https://docs.google.com/spreadsheets/d/1-uDff_7J0KD5mKrp0Vvzr7lt3OU09vwQwhkpOPPYv2Y/edit?usp=sharing"",""งบพรบ!EX81"")"),83350)</f>
        <v>83350</v>
      </c>
      <c r="N338" s="48">
        <f ca="1">IFERROR(__xludf.DUMMYFUNCTION("IMPORTRANGE(""https://docs.google.com/spreadsheets/d/1-uDff_7J0KD5mKrp0Vvzr7lt3OU09vwQwhkpOPPYv2Y/edit?usp=sharing"",""งบพรบ!EZ81"")"),2080)</f>
        <v>2080</v>
      </c>
      <c r="O338" s="48">
        <f ca="1">IF(L338&gt;0,N338*100/L338,0)</f>
        <v>2.0194174757281553</v>
      </c>
      <c r="P338" s="48">
        <f ca="1">IF(M338&gt;0,N338*100/M338,0)</f>
        <v>2.4955008998200361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IFERROR(__xludf.DUMMYFUNCTION("IMPORTRANGE(""https://docs.google.com/spreadsheets/d/1-uDff_7J0KD5mKrp0Vvzr7lt3OU09vwQwhkpOPPYv2Y/edit?usp=sharing"",""งบพรบ!EV81"")"),0)</f>
        <v>0</v>
      </c>
      <c r="M341" s="48">
        <f ca="1">IFERROR(__xludf.DUMMYFUNCTION("IMPORTRANGE(""https://docs.google.com/spreadsheets/d/1-uDff_7J0KD5mKrp0Vvzr7lt3OU09vwQwhkpOPPYv2Y/edit?usp=sharing"",""งบพรบ!EY81"")"),0)</f>
        <v>0</v>
      </c>
      <c r="N341" s="48">
        <f ca="1">IFERROR(__xludf.DUMMYFUNCTION("IMPORTRANGE(""https://docs.google.com/spreadsheets/d/1-uDff_7J0KD5mKrp0Vvzr7lt3OU09vwQwhkpOPPYv2Y/edit?usp=sharing"",""งบพรบ!FA81"")"),0)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72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IFERROR(__xludf.DUMMYFUNCTION("IMPORTRANGE(""https://docs.google.com/spreadsheets/d/1eHaY18a8A9IcSdp1K8H6x8fbOy06t2VsZHhMHf-1x7Y/edit?usp=sharing"",""แผน!EK81"")"),540)</f>
        <v>540</v>
      </c>
      <c r="J344" s="170">
        <f ca="1">IFERROR(__xludf.DUMMYFUNCTION("IMPORTRANGE(""https://docs.google.com/spreadsheets/d/1awYsYK3VOup2i3Pq_Yjnu8DRu_mYwSBnCR2QPthd0rU/edit?usp=sharing"",""ศูนย์ยกเว้นโฉนด!D81"")"),70)</f>
        <v>70</v>
      </c>
      <c r="K344" s="48">
        <f ca="1">IF(I344&gt;0,J344*100/I344,0)</f>
        <v>12.962962962962964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IFERROR(__xludf.DUMMYFUNCTION("IMPORTRANGE(""https://docs.google.com/spreadsheets/d/1eHaY18a8A9IcSdp1K8H6x8fbOy06t2VsZHhMHf-1x7Y/edit?usp=sharing"",""แผน!EL81"")"),3)</f>
        <v>3</v>
      </c>
      <c r="J346" s="170">
        <f ca="1">IFERROR(__xludf.DUMMYFUNCTION("IMPORTRANGE(""https://docs.google.com/spreadsheets/d/1awYsYK3VOup2i3Pq_Yjnu8DRu_mYwSBnCR2QPthd0rU/edit?usp=sharing"",""ศูนย์รวม!E81"")"),2)</f>
        <v>2</v>
      </c>
      <c r="K346" s="48">
        <f ca="1">IF(I346&gt;0,J346*100/I346,0)</f>
        <v>66.666666666666671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IFERROR(__xludf.DUMMYFUNCTION("IMPORTRANGE(""https://docs.google.com/spreadsheets/d/1awYsYK3VOup2i3Pq_Yjnu8DRu_mYwSBnCR2QPthd0rU/edit?usp=sharing"",""ศูนย์ยกเว้นโฉนด!F81"")"),2)</f>
        <v>2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IFERROR(__xludf.DUMMYFUNCTION("IMPORTRANGE(""https://docs.google.com/spreadsheets/d/1awYsYK3VOup2i3Pq_Yjnu8DRu_mYwSBnCR2QPthd0rU/edit?usp=sharing"",""ศูนย์ยกเว้นโฉนด!G81"")"),0)</f>
        <v>0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IFERROR(__xludf.DUMMYFUNCTION("IMPORTRANGE(""https://docs.google.com/spreadsheets/d/1awYsYK3VOup2i3Pq_Yjnu8DRu_mYwSBnCR2QPthd0rU/edit?usp=sharing"",""ศูนย์ยกเว้นโฉนด!H81"")"),0)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315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IFERROR(__xludf.DUMMYFUNCTION("IMPORTRANGE(""https://docs.google.com/spreadsheets/d/1awYsYK3VOup2i3Pq_Yjnu8DRu_mYwSBnCR2QPthd0rU/edit?usp=sharing"",""โฉนดM3!G81"")"),211)</f>
        <v>211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IFERROR(__xludf.DUMMYFUNCTION("IMPORTRANGE(""https://docs.google.com/spreadsheets/d/1awYsYK3VOup2i3Pq_Yjnu8DRu_mYwSBnCR2QPthd0rU/edit?usp=sharing"",""โฉนดM3!H81"")"),104)</f>
        <v>104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427090</v>
      </c>
      <c r="M356" s="141">
        <f ca="1">M357+M358</f>
        <v>322490</v>
      </c>
      <c r="N356" s="141">
        <f ca="1">N357+N358</f>
        <v>51266.67</v>
      </c>
      <c r="O356" s="141">
        <f ca="1">IF(L356&gt;0,N356*100/L356,0)</f>
        <v>12.003715844435598</v>
      </c>
      <c r="P356" s="141">
        <f ca="1">IF(M356&gt;0,N356*100/M356,0)</f>
        <v>15.89713479487736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427090</v>
      </c>
      <c r="M358" s="48">
        <f ca="1">M361+M364</f>
        <v>322490</v>
      </c>
      <c r="N358" s="48">
        <f ca="1">N361+N364</f>
        <v>51266.67</v>
      </c>
      <c r="O358" s="48">
        <f ca="1">IF(L358&gt;0,N358*100/L358,0)</f>
        <v>12.003715844435598</v>
      </c>
      <c r="P358" s="48">
        <f ca="1">IF(M358&gt;0,N358*100/M358,0)</f>
        <v>15.89713479487736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427090</v>
      </c>
      <c r="M359" s="48">
        <f ca="1">M360+M361</f>
        <v>322490</v>
      </c>
      <c r="N359" s="48">
        <f ca="1">N360+N361</f>
        <v>51266.67</v>
      </c>
      <c r="O359" s="48">
        <f ca="1">IF(L359&gt;0,N359*100/L359,0)</f>
        <v>12.003715844435598</v>
      </c>
      <c r="P359" s="48">
        <f ca="1">IF(M359&gt;0,N359*100/M359,0)</f>
        <v>15.89713479487736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IFERROR(__xludf.DUMMYFUNCTION("IMPORTRANGE(""https://docs.google.com/spreadsheets/d/1-uDff_7J0KD5mKrp0Vvzr7lt3OU09vwQwhkpOPPYv2Y/edit?usp=sharing"",""งบพรบ!FC81"")"),427090)</f>
        <v>427090</v>
      </c>
      <c r="M361" s="48">
        <f ca="1">IFERROR(__xludf.DUMMYFUNCTION("IMPORTRANGE(""https://docs.google.com/spreadsheets/d/1-uDff_7J0KD5mKrp0Vvzr7lt3OU09vwQwhkpOPPYv2Y/edit?usp=sharing"",""งบพรบ!FH81"")"),322490)</f>
        <v>322490</v>
      </c>
      <c r="N361" s="48">
        <f ca="1">IFERROR(__xludf.DUMMYFUNCTION("IMPORTRANGE(""https://docs.google.com/spreadsheets/d/1-uDff_7J0KD5mKrp0Vvzr7lt3OU09vwQwhkpOPPYv2Y/edit?usp=sharing"",""งบพรบ!FJ81"")"),51266.67)</f>
        <v>51266.67</v>
      </c>
      <c r="O361" s="48">
        <f ca="1">IF(L361&gt;0,N361*100/L361,0)</f>
        <v>12.003715844435598</v>
      </c>
      <c r="P361" s="48">
        <f ca="1">IF(M361&gt;0,N361*100/M361,0)</f>
        <v>15.89713479487736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IFERROR(__xludf.DUMMYFUNCTION("IMPORTRANGE(""https://docs.google.com/spreadsheets/d/1-uDff_7J0KD5mKrp0Vvzr7lt3OU09vwQwhkpOPPYv2Y/edit?usp=sharing"",""งบพรบ!FF81"")"),0)</f>
        <v>0</v>
      </c>
      <c r="M364" s="48">
        <f ca="1">IFERROR(__xludf.DUMMYFUNCTION("IMPORTRANGE(""https://docs.google.com/spreadsheets/d/1-uDff_7J0KD5mKrp0Vvzr7lt3OU09vwQwhkpOPPYv2Y/edit?usp=sharing"",""งบพรบ!FI81"")"),0)</f>
        <v>0</v>
      </c>
      <c r="N364" s="48">
        <f ca="1">IFERROR(__xludf.DUMMYFUNCTION("IMPORTRANGE(""https://docs.google.com/spreadsheets/d/1-uDff_7J0KD5mKrp0Vvzr7lt3OU09vwQwhkpOPPYv2Y/edit?usp=sharing"",""งบพรบ!FK81"")"),0)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43</v>
      </c>
      <c r="J365" s="240">
        <f ca="1">J371</f>
        <v>3</v>
      </c>
      <c r="K365" s="241">
        <f ca="1">IF(I365&gt;0,J365*100/I365,0)</f>
        <v>6.9767441860465116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IFERROR(__xludf.DUMMYFUNCTION("IMPORTRANGE(""https://docs.google.com/spreadsheets/d/1tdoBKaGub7dwA3U6UFTqxio9LNnvDCQjHKmttSEBsFQ/edit?usp=sharing"",""จัดที่ดิน!AB81"")"),0)</f>
        <v>0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IFERROR(__xludf.DUMMYFUNCTION("IMPORTRANGE(""https://docs.google.com/spreadsheets/d/1eHaY18a8A9IcSdp1K8H6x8fbOy06t2VsZHhMHf-1x7Y/edit?usp=sharing"",""แผน!EW81"")"),310)</f>
        <v>310</v>
      </c>
      <c r="J368" s="368">
        <f ca="1">IFERROR(__xludf.DUMMYFUNCTION("IMPORTRANGE(""https://docs.google.com/spreadsheets/d/1tdoBKaGub7dwA3U6UFTqxio9LNnvDCQjHKmttSEBsFQ/edit?usp=sharing"",""จัดที่ดิน!AC81"")"),0)</f>
        <v>0</v>
      </c>
      <c r="K368" s="48">
        <f ca="1">IF(I368&gt;0,J368*100/I368,0)</f>
        <v>0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IFERROR(__xludf.DUMMYFUNCTION("IMPORTRANGE(""https://docs.google.com/spreadsheets/d/1eHaY18a8A9IcSdp1K8H6x8fbOy06t2VsZHhMHf-1x7Y/edit?usp=sharing"",""แผน!EX81"")"),58)</f>
        <v>58</v>
      </c>
      <c r="J369" s="170">
        <f ca="1">IFERROR(__xludf.DUMMYFUNCTION("IMPORTRANGE(""https://docs.google.com/spreadsheets/d/1tdoBKaGub7dwA3U6UFTqxio9LNnvDCQjHKmttSEBsFQ/edit?usp=sharing"",""จัดที่ดิน!AD81"")"),3)</f>
        <v>3</v>
      </c>
      <c r="K369" s="48">
        <f ca="1">IF(I369&gt;0,J369*100/I369,0)</f>
        <v>5.1724137931034484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IFERROR(__xludf.DUMMYFUNCTION("IMPORTRANGE(""https://docs.google.com/spreadsheets/d/1tdoBKaGub7dwA3U6UFTqxio9LNnvDCQjHKmttSEBsFQ/edit?usp=sharing"",""จัดที่ดิน!AE81"")"),41.28)</f>
        <v>41.28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IFERROR(__xludf.DUMMYFUNCTION("IMPORTRANGE(""https://docs.google.com/spreadsheets/d/1eHaY18a8A9IcSdp1K8H6x8fbOy06t2VsZHhMHf-1x7Y/edit?usp=sharing"",""แผน!EY81"")"),43)</f>
        <v>43</v>
      </c>
      <c r="J371" s="170">
        <f ca="1">IFERROR(__xludf.DUMMYFUNCTION("IMPORTRANGE(""https://docs.google.com/spreadsheets/d/1tdoBKaGub7dwA3U6UFTqxio9LNnvDCQjHKmttSEBsFQ/edit?usp=sharing"",""จัดที่ดิน!AF81"")"),3)</f>
        <v>3</v>
      </c>
      <c r="K371" s="48">
        <f ca="1">IF(I371&gt;0,J371*100/I371,0)</f>
        <v>6.9767441860465116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IFERROR(__xludf.DUMMYFUNCTION("IMPORTRANGE(""https://docs.google.com/spreadsheets/d/1tdoBKaGub7dwA3U6UFTqxio9LNnvDCQjHKmttSEBsFQ/edit?usp=sharing"",""จัดที่ดิน!AG81"")"),41.28)</f>
        <v>41.28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IFERROR(__xludf.DUMMYFUNCTION("IMPORTRANGE(""https://docs.google.com/spreadsheets/d/1-uDff_7J0KD5mKrp0Vvzr7lt3OU09vwQwhkpOPPYv2Y/edit?usp=sharing"",""งบพรบ!FM81"")"),0)</f>
        <v>0</v>
      </c>
      <c r="M382" s="51">
        <f ca="1">IFERROR(__xludf.DUMMYFUNCTION("IMPORTRANGE(""https://docs.google.com/spreadsheets/d/1-uDff_7J0KD5mKrp0Vvzr7lt3OU09vwQwhkpOPPYv2Y/edit?usp=sharing"",""งบพรบ!FR81"")"),0)</f>
        <v>0</v>
      </c>
      <c r="N382" s="51">
        <f ca="1">IFERROR(__xludf.DUMMYFUNCTION("IMPORTRANGE(""https://docs.google.com/spreadsheets/d/1-uDff_7J0KD5mKrp0Vvzr7lt3OU09vwQwhkpOPPYv2Y/edit?usp=sharing"",""งบพรบ!FT81"")"),0)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IFERROR(__xludf.DUMMYFUNCTION("IMPORTRANGE(""https://docs.google.com/spreadsheets/d/1-uDff_7J0KD5mKrp0Vvzr7lt3OU09vwQwhkpOPPYv2Y/edit?usp=sharing"",""งบพรบ!FP81"")"),0)</f>
        <v>0</v>
      </c>
      <c r="M385" s="51">
        <f ca="1">IFERROR(__xludf.DUMMYFUNCTION("IMPORTRANGE(""https://docs.google.com/spreadsheets/d/1-uDff_7J0KD5mKrp0Vvzr7lt3OU09vwQwhkpOPPYv2Y/edit?usp=sharing"",""งบพรบ!FS81"")"),0)</f>
        <v>0</v>
      </c>
      <c r="N385" s="51">
        <f ca="1">IFERROR(__xludf.DUMMYFUNCTION("IMPORTRANGE(""https://docs.google.com/spreadsheets/d/1-uDff_7J0KD5mKrp0Vvzr7lt3OU09vwQwhkpOPPYv2Y/edit?usp=sharing"",""งบพรบ!FU81"")"),0)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4" orientation="portrait" r:id="rId1"/>
  <headerFooter>
    <oddFooter>&amp;Cหน้า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379A-4422-4070-B026-C2B11174C02A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1.28515625" bestFit="1" customWidth="1"/>
    <col min="11" max="11" width="12.28515625" bestFit="1" customWidth="1"/>
    <col min="12" max="13" width="20.7109375" bestFit="1" customWidth="1"/>
    <col min="14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161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1908235</v>
      </c>
      <c r="M18" s="34">
        <f ca="1">M19+M20</f>
        <v>1630335</v>
      </c>
      <c r="N18" s="34">
        <f ca="1">N19+N20</f>
        <v>399873.92</v>
      </c>
      <c r="O18" s="34">
        <f ca="1">IF(L18&gt;0,N18*100/L18,0)</f>
        <v>20.955171663867397</v>
      </c>
      <c r="P18" s="34">
        <f ca="1">IF(M18&gt;0,N18*100/M18,0)</f>
        <v>24.527101485277566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1908235</v>
      </c>
      <c r="M20" s="40">
        <f ca="1">M23+M26</f>
        <v>1630335</v>
      </c>
      <c r="N20" s="40">
        <f ca="1">N23+N26</f>
        <v>399873.92</v>
      </c>
      <c r="O20" s="40">
        <f ca="1">IF(L20&gt;0,N20*100/L20,0)</f>
        <v>20.955171663867397</v>
      </c>
      <c r="P20" s="40">
        <f ca="1">IF(M20&gt;0,N20*100/M20,0)</f>
        <v>24.527101485277566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1908235</v>
      </c>
      <c r="M21" s="48">
        <f ca="1">M22+M23</f>
        <v>1630335</v>
      </c>
      <c r="N21" s="48">
        <f ca="1">N22+N23</f>
        <v>399873.92</v>
      </c>
      <c r="O21" s="48">
        <f ca="1">IF(L21&gt;0,N21*100/L21,0)</f>
        <v>20.955171663867397</v>
      </c>
      <c r="P21" s="48">
        <f ca="1">IF(M21&gt;0,N21*100/M21,0)</f>
        <v>24.527101485277566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1908235</v>
      </c>
      <c r="M23" s="48">
        <f ca="1">M49+M64+M77+M99+M130+M144+M162+M191+M178+M271+M287+M308+M325+M338+M361+M382</f>
        <v>1630335</v>
      </c>
      <c r="N23" s="48">
        <f ca="1">N49+N64+N77+N99+N130+N144+N162+N191+N178+N271+N287+N308+N325+N338+N361+N382</f>
        <v>399873.92</v>
      </c>
      <c r="O23" s="48">
        <f ca="1">IF(L23&gt;0,N23*100/L23,0)</f>
        <v>20.955171663867397</v>
      </c>
      <c r="P23" s="48">
        <f ca="1">IF(M23&gt;0,N23*100/M23,0)</f>
        <v>24.527101485277566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1908235</v>
      </c>
      <c r="M40" s="65">
        <f ca="1">M44+M59+M72+M94+M125+M139+M157+M173+M186+M266+M282+M303+M320+M333+M356</f>
        <v>1630335</v>
      </c>
      <c r="N40" s="65">
        <f ca="1">N44+N59+N72+N94+N125+N139+N157+N173+N186+N266+N282+N303+N320+N333+N356</f>
        <v>399873.92</v>
      </c>
      <c r="O40" s="65">
        <f ca="1">IF(L40&gt;0,N40*100/L40,0)</f>
        <v>20.955171663867397</v>
      </c>
      <c r="P40" s="65">
        <f ca="1">IF(M40&gt;0,N40*100/M40,0)</f>
        <v>24.527101485277566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376600</v>
      </c>
      <c r="M44" s="84">
        <f ca="1">M45+M46</f>
        <v>376600</v>
      </c>
      <c r="N44" s="84">
        <f ca="1">N45+N46</f>
        <v>129000</v>
      </c>
      <c r="O44" s="84">
        <f ca="1">IF(L44&gt;0,N44*100/L44,0)</f>
        <v>34.253850238980348</v>
      </c>
      <c r="P44" s="84">
        <f ca="1">IF(M44&gt;0,N44*100/M44,0)</f>
        <v>34.253850238980348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376600</v>
      </c>
      <c r="M46" s="90">
        <f ca="1">M49+M52</f>
        <v>376600</v>
      </c>
      <c r="N46" s="90">
        <f ca="1">N49+N52</f>
        <v>129000</v>
      </c>
      <c r="O46" s="90">
        <f ca="1">IF(L46&gt;0,N46*100/L46,0)</f>
        <v>34.253850238980348</v>
      </c>
      <c r="P46" s="90">
        <f ca="1">IF(M46&gt;0,N46*100/M46,0)</f>
        <v>34.253850238980348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376600</v>
      </c>
      <c r="M47" s="48">
        <f ca="1">M48+M49</f>
        <v>376600</v>
      </c>
      <c r="N47" s="48">
        <f ca="1">N48+N49</f>
        <v>129000</v>
      </c>
      <c r="O47" s="48">
        <f ca="1">IF(L47&gt;0,N47*100/L47,0)</f>
        <v>34.253850238980348</v>
      </c>
      <c r="P47" s="48">
        <f ca="1">IF(M47&gt;0,N47*100/M47,0)</f>
        <v>34.253850238980348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IFERROR(__xludf.DUMMYFUNCTION("IMPORTRANGE(""https://docs.google.com/spreadsheets/d/1-uDff_7J0KD5mKrp0Vvzr7lt3OU09vwQwhkpOPPYv2Y/edit?usp=sharing"",""งบพรบ!P82"")"),376600)</f>
        <v>376600</v>
      </c>
      <c r="M49" s="48">
        <f ca="1">IFERROR(__xludf.DUMMYFUNCTION("IMPORTRANGE(""https://docs.google.com/spreadsheets/d/1-uDff_7J0KD5mKrp0Vvzr7lt3OU09vwQwhkpOPPYv2Y/edit?usp=sharing"",""งบพรบ!V82"")"),376600)</f>
        <v>376600</v>
      </c>
      <c r="N49" s="48">
        <f ca="1">IFERROR(__xludf.DUMMYFUNCTION("IMPORTRANGE(""https://docs.google.com/spreadsheets/d/1-uDff_7J0KD5mKrp0Vvzr7lt3OU09vwQwhkpOPPYv2Y/edit?usp=sharing"",""งบพรบ!Y82"")"),129000)</f>
        <v>129000</v>
      </c>
      <c r="O49" s="48">
        <f ca="1">IF(L49&gt;0,N49*100/L49,0)</f>
        <v>34.253850238980348</v>
      </c>
      <c r="P49" s="48">
        <f ca="1">IF(M49&gt;0,N49*100/M49,0)</f>
        <v>34.253850238980348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IFERROR(__xludf.DUMMYFUNCTION("IMPORTRANGE(""https://docs.google.com/spreadsheets/d/1-uDff_7J0KD5mKrp0Vvzr7lt3OU09vwQwhkpOPPYv2Y/edit?usp=sharing"",""งบพรบ!S82"")"),0)</f>
        <v>0</v>
      </c>
      <c r="M52" s="48">
        <f ca="1">IFERROR(__xludf.DUMMYFUNCTION("IMPORTRANGE(""https://docs.google.com/spreadsheets/d/1-uDff_7J0KD5mKrp0Vvzr7lt3OU09vwQwhkpOPPYv2Y/edit?usp=sharing"",""งบพรบ!W82"")"),0)</f>
        <v>0</v>
      </c>
      <c r="N52" s="48">
        <f ca="1">IFERROR(__xludf.DUMMYFUNCTION("IMPORTRANGE(""https://docs.google.com/spreadsheets/d/1-uDff_7J0KD5mKrp0Vvzr7lt3OU09vwQwhkpOPPYv2Y/edit?usp=sharing"",""งบพรบ!Z82"")"),0)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413200</v>
      </c>
      <c r="M59" s="113">
        <f ca="1">M60+M61</f>
        <v>312050</v>
      </c>
      <c r="N59" s="113">
        <f ca="1">N60+N61</f>
        <v>134213.72</v>
      </c>
      <c r="O59" s="113">
        <f ca="1">IF(L59&gt;0,N59*100/L59,0)</f>
        <v>32.481539206195549</v>
      </c>
      <c r="P59" s="113">
        <f ca="1">IF(M59&gt;0,N59*100/M59,0)</f>
        <v>43.010325268386474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413200</v>
      </c>
      <c r="M61" s="119">
        <f ca="1">M64+M67</f>
        <v>312050</v>
      </c>
      <c r="N61" s="119">
        <f ca="1">N64+N67</f>
        <v>134213.72</v>
      </c>
      <c r="O61" s="119">
        <f ca="1">IF(L61&gt;0,N61*100/L61,0)</f>
        <v>32.481539206195549</v>
      </c>
      <c r="P61" s="119">
        <f ca="1">IF(M61&gt;0,N61*100/M61,0)</f>
        <v>43.010325268386474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413200</v>
      </c>
      <c r="M62" s="48">
        <f ca="1">M63+M64</f>
        <v>312050</v>
      </c>
      <c r="N62" s="48">
        <f ca="1">N63+N64</f>
        <v>134213.72</v>
      </c>
      <c r="O62" s="48">
        <f ca="1">IF(L62&gt;0,N62*100/L62,0)</f>
        <v>32.481539206195549</v>
      </c>
      <c r="P62" s="48">
        <f ca="1">IF(M62&gt;0,N62*100/M62,0)</f>
        <v>43.010325268386474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IFERROR(__xludf.DUMMYFUNCTION("IMPORTRANGE(""https://docs.google.com/spreadsheets/d/1-uDff_7J0KD5mKrp0Vvzr7lt3OU09vwQwhkpOPPYv2Y/edit?usp=sharing"",""งบพรบ!AC82"")"),413200)</f>
        <v>413200</v>
      </c>
      <c r="M64" s="48">
        <f ca="1">IFERROR(__xludf.DUMMYFUNCTION("IMPORTRANGE(""https://docs.google.com/spreadsheets/d/1-uDff_7J0KD5mKrp0Vvzr7lt3OU09vwQwhkpOPPYv2Y/edit?usp=sharing"",""งบพรบ!AH82"")"),312050)</f>
        <v>312050</v>
      </c>
      <c r="N64" s="48">
        <f ca="1">IFERROR(__xludf.DUMMYFUNCTION("IMPORTRANGE(""https://docs.google.com/spreadsheets/d/1-uDff_7J0KD5mKrp0Vvzr7lt3OU09vwQwhkpOPPYv2Y/edit?usp=sharing"",""งบพรบ!AJ82"")"),134213.72)</f>
        <v>134213.72</v>
      </c>
      <c r="O64" s="48">
        <f ca="1">IF(L64&gt;0,N64*100/L64,0)</f>
        <v>32.481539206195549</v>
      </c>
      <c r="P64" s="48">
        <f ca="1">IF(M64&gt;0,N64*100/M64,0)</f>
        <v>43.010325268386474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IFERROR(__xludf.DUMMYFUNCTION("IMPORTRANGE(""https://docs.google.com/spreadsheets/d/1-uDff_7J0KD5mKrp0Vvzr7lt3OU09vwQwhkpOPPYv2Y/edit?usp=sharing"",""งบพรบ!AF82"")"),0)</f>
        <v>0</v>
      </c>
      <c r="M67" s="59">
        <f ca="1">IFERROR(__xludf.DUMMYFUNCTION("IMPORTRANGE(""https://docs.google.com/spreadsheets/d/1-uDff_7J0KD5mKrp0Vvzr7lt3OU09vwQwhkpOPPYv2Y/edit?usp=sharing"",""งบพรบ!AI82"")"),0)</f>
        <v>0</v>
      </c>
      <c r="N67" s="59">
        <f ca="1">IFERROR(__xludf.DUMMYFUNCTION("IMPORTRANGE(""https://docs.google.com/spreadsheets/d/1-uDff_7J0KD5mKrp0Vvzr7lt3OU09vwQwhkpOPPYv2Y/edit?usp=sharing"",""งบพรบ!AK82"")"),0)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1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30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544900</v>
      </c>
      <c r="M72" s="141">
        <f ca="1">M73+M74</f>
        <v>457500</v>
      </c>
      <c r="N72" s="141">
        <f ca="1">N73+N74</f>
        <v>100623.63</v>
      </c>
      <c r="O72" s="141">
        <f ca="1">IF(L72&gt;0,N72*100/L72,0)</f>
        <v>18.466439713708937</v>
      </c>
      <c r="P72" s="141">
        <f ca="1">IF(M72&gt;0,N72*100/M72,0)</f>
        <v>21.994236065573769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544900</v>
      </c>
      <c r="M74" s="48">
        <f ca="1">M77+M80</f>
        <v>457500</v>
      </c>
      <c r="N74" s="48">
        <f ca="1">N77+N80</f>
        <v>100623.63</v>
      </c>
      <c r="O74" s="48">
        <f ca="1">IF(L74&gt;0,N74*100/L74,0)</f>
        <v>18.466439713708937</v>
      </c>
      <c r="P74" s="48">
        <f ca="1">IF(M74&gt;0,N74*100/M74,0)</f>
        <v>21.994236065573769</v>
      </c>
    </row>
    <row r="75" spans="1:16" ht="18.75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544900</v>
      </c>
      <c r="M75" s="48">
        <f ca="1">M76+M77</f>
        <v>457500</v>
      </c>
      <c r="N75" s="48">
        <f ca="1">N76+N77</f>
        <v>100623.63</v>
      </c>
      <c r="O75" s="48">
        <f ca="1">IF(L75&gt;0,N75*100/L75,0)</f>
        <v>18.466439713708937</v>
      </c>
      <c r="P75" s="48">
        <f ca="1">IF(M75&gt;0,N75*100/M75,0)</f>
        <v>21.994236065573769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IFERROR(__xludf.DUMMYFUNCTION("IMPORTRANGE(""https://docs.google.com/spreadsheets/d/1-uDff_7J0KD5mKrp0Vvzr7lt3OU09vwQwhkpOPPYv2Y/edit?usp=sharing"",""งบพรบ!AM82"")"),544900)</f>
        <v>544900</v>
      </c>
      <c r="M77" s="48">
        <f ca="1">IFERROR(__xludf.DUMMYFUNCTION("IMPORTRANGE(""https://docs.google.com/spreadsheets/d/1-uDff_7J0KD5mKrp0Vvzr7lt3OU09vwQwhkpOPPYv2Y/edit?usp=sharing"",""งบพรบ!AR82"")"),457500)</f>
        <v>457500</v>
      </c>
      <c r="N77" s="48">
        <f ca="1">IFERROR(__xludf.DUMMYFUNCTION("IMPORTRANGE(""https://docs.google.com/spreadsheets/d/1-uDff_7J0KD5mKrp0Vvzr7lt3OU09vwQwhkpOPPYv2Y/edit?usp=sharing"",""งบพรบ!AT82"")"),100623.63)</f>
        <v>100623.63</v>
      </c>
      <c r="O77" s="48">
        <f ca="1">IF(L77&gt;0,N77*100/L77,0)</f>
        <v>18.466439713708937</v>
      </c>
      <c r="P77" s="48">
        <f ca="1">IF(M77&gt;0,N77*100/M77,0)</f>
        <v>21.994236065573769</v>
      </c>
    </row>
    <row r="78" spans="1:16" ht="18.75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IFERROR(__xludf.DUMMYFUNCTION("IMPORTRANGE(""https://docs.google.com/spreadsheets/d/1-uDff_7J0KD5mKrp0Vvzr7lt3OU09vwQwhkpOPPYv2Y/edit?usp=sharing"",""งบพรบ!AP82"")"),0)</f>
        <v>0</v>
      </c>
      <c r="M80" s="48">
        <f ca="1">IFERROR(__xludf.DUMMYFUNCTION("IMPORTRANGE(""https://docs.google.com/spreadsheets/d/1-uDff_7J0KD5mKrp0Vvzr7lt3OU09vwQwhkpOPPYv2Y/edit?usp=sharing"",""งบพรบ!AS82"")"),0)</f>
        <v>0</v>
      </c>
      <c r="N80" s="48">
        <f ca="1">IFERROR(__xludf.DUMMYFUNCTION("IMPORTRANGE(""https://docs.google.com/spreadsheets/d/1-uDff_7J0KD5mKrp0Vvzr7lt3OU09vwQwhkpOPPYv2Y/edit?usp=sharing"",""งบพรบ!AU82"")"),0)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1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30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IFERROR(__xludf.DUMMYFUNCTION("IMPORTRANGE(""https://docs.google.com/spreadsheets/d/1eHaY18a8A9IcSdp1K8H6x8fbOy06t2VsZHhMHf-1x7Y/edit?usp=sharing"",""แผน!H82"")"),0)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IFERROR(__xludf.DUMMYFUNCTION("IMPORTRANGE(""https://docs.google.com/spreadsheets/d/1eHaY18a8A9IcSdp1K8H6x8fbOy06t2VsZHhMHf-1x7Y/edit?usp=sharing"",""แผน!I82"")"),0)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IFERROR(__xludf.DUMMYFUNCTION("IMPORTRANGE(""https://docs.google.com/spreadsheets/d/1eHaY18a8A9IcSdp1K8H6x8fbOy06t2VsZHhMHf-1x7Y/edit?usp=sharing"",""แผน!F82"")"),0)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IFERROR(__xludf.DUMMYFUNCTION("IMPORTRANGE(""https://docs.google.com/spreadsheets/d/1eHaY18a8A9IcSdp1K8H6x8fbOy06t2VsZHhMHf-1x7Y/edit?usp=sharing"",""แผน!G82"")"),0)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IFERROR(__xludf.DUMMYFUNCTION("IMPORTRANGE(""https://docs.google.com/spreadsheets/d/1eHaY18a8A9IcSdp1K8H6x8fbOy06t2VsZHhMHf-1x7Y/edit?usp=sharing"",""แผน!D82"")"),1)</f>
        <v>1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IFERROR(__xludf.DUMMYFUNCTION("IMPORTRANGE(""https://docs.google.com/spreadsheets/d/1eHaY18a8A9IcSdp1K8H6x8fbOy06t2VsZHhMHf-1x7Y/edit?usp=sharing"",""แผน!E82"")"),30)</f>
        <v>30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IFERROR(__xludf.DUMMYFUNCTION("IMPORTRANGE(""https://docs.google.com/spreadsheets/d/1eHaY18a8A9IcSdp1K8H6x8fbOy06t2VsZHhMHf-1x7Y/edit?usp=sharing"",""แผน!J82"")"),1)</f>
        <v>1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IFERROR(__xludf.DUMMYFUNCTION("IMPORTRANGE(""https://docs.google.com/spreadsheets/d/1-uDff_7J0KD5mKrp0Vvzr7lt3OU09vwQwhkpOPPYv2Y/edit?usp=sharing"",""งบพรบ!AW82"")"),0)</f>
        <v>0</v>
      </c>
      <c r="M99" s="48">
        <f ca="1">IFERROR(__xludf.DUMMYFUNCTION("IMPORTRANGE(""https://docs.google.com/spreadsheets/d/1-uDff_7J0KD5mKrp0Vvzr7lt3OU09vwQwhkpOPPYv2Y/edit?usp=sharing"",""งบพรบ!BB82"")"),0)</f>
        <v>0</v>
      </c>
      <c r="N99" s="48">
        <f ca="1">IFERROR(__xludf.DUMMYFUNCTION("IMPORTRANGE(""https://docs.google.com/spreadsheets/d/1-uDff_7J0KD5mKrp0Vvzr7lt3OU09vwQwhkpOPPYv2Y/edit?usp=sharing"",""งบพรบ!BD82"")"),0)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IFERROR(__xludf.DUMMYFUNCTION("IMPORTRANGE(""https://docs.google.com/spreadsheets/d/1-uDff_7J0KD5mKrp0Vvzr7lt3OU09vwQwhkpOPPYv2Y/edit?usp=sharing"",""งบพรบ!AZ82"")"),0)</f>
        <v>0</v>
      </c>
      <c r="M102" s="48">
        <f ca="1">IFERROR(__xludf.DUMMYFUNCTION("IMPORTRANGE(""https://docs.google.com/spreadsheets/d/1-uDff_7J0KD5mKrp0Vvzr7lt3OU09vwQwhkpOPPYv2Y/edit?usp=sharing"",""งบพรบ!BC82"")"),0)</f>
        <v>0</v>
      </c>
      <c r="N102" s="48">
        <f ca="1">IFERROR(__xludf.DUMMYFUNCTION("IMPORTRANGE(""https://docs.google.com/spreadsheets/d/1-uDff_7J0KD5mKrp0Vvzr7lt3OU09vwQwhkpOPPYv2Y/edit?usp=sharing"",""งบพรบ!BE82"")"),0)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IFERROR(__xludf.DUMMYFUNCTION("IMPORTRANGE(""https://docs.google.com/spreadsheets/d/1eHaY18a8A9IcSdp1K8H6x8fbOy06t2VsZHhMHf-1x7Y/edit?usp=sharing"",""แผน!N82"")"),0)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IFERROR(__xludf.DUMMYFUNCTION("IMPORTRANGE(""https://docs.google.com/spreadsheets/d/1eHaY18a8A9IcSdp1K8H6x8fbOy06t2VsZHhMHf-1x7Y/edit?usp=sharing"",""แผน!O82"")"),0)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IFERROR(__xludf.DUMMYFUNCTION("IMPORTRANGE(""https://docs.google.com/spreadsheets/d/1eHaY18a8A9IcSdp1K8H6x8fbOy06t2VsZHhMHf-1x7Y/edit?usp=sharing"",""แผน!R82"")"),0)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IFERROR(__xludf.DUMMYFUNCTION("IMPORTRANGE(""https://docs.google.com/spreadsheets/d/1-uDff_7J0KD5mKrp0Vvzr7lt3OU09vwQwhkpOPPYv2Y/edit?usp=sharing"",""งบพรบ!BG82"")"),0)</f>
        <v>0</v>
      </c>
      <c r="M130" s="178">
        <f ca="1">IFERROR(__xludf.DUMMYFUNCTION("IMPORTRANGE(""https://docs.google.com/spreadsheets/d/1-uDff_7J0KD5mKrp0Vvzr7lt3OU09vwQwhkpOPPYv2Y/edit?usp=sharing"",""งบพรบ!BL82"")"),0)</f>
        <v>0</v>
      </c>
      <c r="N130" s="178">
        <f ca="1">IFERROR(__xludf.DUMMYFUNCTION("IMPORTRANGE(""https://docs.google.com/spreadsheets/d/1-uDff_7J0KD5mKrp0Vvzr7lt3OU09vwQwhkpOPPYv2Y/edit?usp=sharing"",""งบพรบ!BN82"")"),0)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IFERROR(__xludf.DUMMYFUNCTION("IMPORTRANGE(""https://docs.google.com/spreadsheets/d/1-uDff_7J0KD5mKrp0Vvzr7lt3OU09vwQwhkpOPPYv2Y/edit?usp=sharing"",""งบพรบ!BJ82"")"),0)</f>
        <v>0</v>
      </c>
      <c r="M133" s="178">
        <f ca="1">IFERROR(__xludf.DUMMYFUNCTION("IMPORTRANGE(""https://docs.google.com/spreadsheets/d/1-uDff_7J0KD5mKrp0Vvzr7lt3OU09vwQwhkpOPPYv2Y/edit?usp=sharing"",""งบพรบ!BM82"")"),0)</f>
        <v>0</v>
      </c>
      <c r="N133" s="178">
        <f ca="1">IFERROR(__xludf.DUMMYFUNCTION("IMPORTRANGE(""https://docs.google.com/spreadsheets/d/1-uDff_7J0KD5mKrp0Vvzr7lt3OU09vwQwhkpOPPYv2Y/edit?usp=sharing"",""งบพรบ!BO82"")"),0)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2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60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6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91400</v>
      </c>
      <c r="M139" s="141">
        <f ca="1">M140+M141</f>
        <v>86400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91400</v>
      </c>
      <c r="M141" s="48">
        <f ca="1">M144+M147</f>
        <v>86400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91400</v>
      </c>
      <c r="M142" s="48">
        <f ca="1">M143+M144</f>
        <v>86400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IFERROR(__xludf.DUMMYFUNCTION("IMPORTRANGE(""https://docs.google.com/spreadsheets/d/1-uDff_7J0KD5mKrp0Vvzr7lt3OU09vwQwhkpOPPYv2Y/edit?usp=sharing"",""งบพรบ!BQ82"")"),91400)</f>
        <v>91400</v>
      </c>
      <c r="M144" s="48">
        <f ca="1">IFERROR(__xludf.DUMMYFUNCTION("IMPORTRANGE(""https://docs.google.com/spreadsheets/d/1-uDff_7J0KD5mKrp0Vvzr7lt3OU09vwQwhkpOPPYv2Y/edit?usp=sharing"",""งบพรบ!BV82"")"),86400)</f>
        <v>86400</v>
      </c>
      <c r="N144" s="48">
        <f ca="1">IFERROR(__xludf.DUMMYFUNCTION("IMPORTRANGE(""https://docs.google.com/spreadsheets/d/1-uDff_7J0KD5mKrp0Vvzr7lt3OU09vwQwhkpOPPYv2Y/edit?usp=sharing"",""งบพรบ!BX82"")"),0)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IFERROR(__xludf.DUMMYFUNCTION("IMPORTRANGE(""https://docs.google.com/spreadsheets/d/1-uDff_7J0KD5mKrp0Vvzr7lt3OU09vwQwhkpOPPYv2Y/edit?usp=sharing"",""งบพรบ!BT82"")"),0)</f>
        <v>0</v>
      </c>
      <c r="M147" s="48">
        <f ca="1">IFERROR(__xludf.DUMMYFUNCTION("IMPORTRANGE(""https://docs.google.com/spreadsheets/d/1-uDff_7J0KD5mKrp0Vvzr7lt3OU09vwQwhkpOPPYv2Y/edit?usp=sharing"",""งบพรบ!BW82"")"),0)</f>
        <v>0</v>
      </c>
      <c r="N147" s="48">
        <f ca="1">IFERROR(__xludf.DUMMYFUNCTION("IMPORTRANGE(""https://docs.google.com/spreadsheets/d/1-uDff_7J0KD5mKrp0Vvzr7lt3OU09vwQwhkpOPPYv2Y/edit?usp=sharing"",""งบพรบ!BY82"")"),0)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IFERROR(__xludf.DUMMYFUNCTION("IMPORTRANGE(""https://docs.google.com/spreadsheets/d/1eHaY18a8A9IcSdp1K8H6x8fbOy06t2VsZHhMHf-1x7Y/edit?usp=sharing"",""แผน!U82"")"),20)</f>
        <v>20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IFERROR(__xludf.DUMMYFUNCTION("IMPORTRANGE(""https://docs.google.com/spreadsheets/d/1eHaY18a8A9IcSdp1K8H6x8fbOy06t2VsZHhMHf-1x7Y/edit?usp=sharing"",""แผน!V82"")"),2)</f>
        <v>2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IFERROR(__xludf.DUMMYFUNCTION("IMPORTRANGE(""https://docs.google.com/spreadsheets/d/1eHaY18a8A9IcSdp1K8H6x8fbOy06t2VsZHhMHf-1x7Y/edit?usp=sharing"",""แผน!W82"")"),60)</f>
        <v>60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IFERROR(__xludf.DUMMYFUNCTION("IMPORTRANGE(""https://docs.google.com/spreadsheets/d/1eHaY18a8A9IcSdp1K8H6x8fbOy06t2VsZHhMHf-1x7Y/edit?usp=sharing"",""แผน!X82"")"),6)</f>
        <v>6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IFERROR(__xludf.DUMMYFUNCTION("IMPORTRANGE(""https://docs.google.com/spreadsheets/d/1eHaY18a8A9IcSdp1K8H6x8fbOy06t2VsZHhMHf-1x7Y/edit?usp=sharing"",""แผน!Y82"")"),2)</f>
        <v>2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IFERROR(__xludf.DUMMYFUNCTION("IMPORTRANGE(""https://docs.google.com/spreadsheets/d/1-uDff_7J0KD5mKrp0Vvzr7lt3OU09vwQwhkpOPPYv2Y/edit?usp=sharing"",""งบพรบ!CA82"")"),0)</f>
        <v>0</v>
      </c>
      <c r="M162" s="48">
        <f ca="1">IFERROR(__xludf.DUMMYFUNCTION("IMPORTRANGE(""https://docs.google.com/spreadsheets/d/1-uDff_7J0KD5mKrp0Vvzr7lt3OU09vwQwhkpOPPYv2Y/edit?usp=sharing"",""งบพรบ!CF82"")"),0)</f>
        <v>0</v>
      </c>
      <c r="N162" s="48">
        <f ca="1">IFERROR(__xludf.DUMMYFUNCTION("IMPORTRANGE(""https://docs.google.com/spreadsheets/d/1-uDff_7J0KD5mKrp0Vvzr7lt3OU09vwQwhkpOPPYv2Y/edit?usp=sharing"",""งบพรบ!CH82"")"),0)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IFERROR(__xludf.DUMMYFUNCTION("IMPORTRANGE(""https://docs.google.com/spreadsheets/d/1-uDff_7J0KD5mKrp0Vvzr7lt3OU09vwQwhkpOPPYv2Y/edit?usp=sharing"",""งบพรบ!CD82"")"),0)</f>
        <v>0</v>
      </c>
      <c r="M165" s="48">
        <f ca="1">IFERROR(__xludf.DUMMYFUNCTION("IMPORTRANGE(""https://docs.google.com/spreadsheets/d/1-uDff_7J0KD5mKrp0Vvzr7lt3OU09vwQwhkpOPPYv2Y/edit?usp=sharing"",""งบพรบ!CG82"")"),0)</f>
        <v>0</v>
      </c>
      <c r="N165" s="48">
        <f ca="1">IFERROR(__xludf.DUMMYFUNCTION("IMPORTRANGE(""https://docs.google.com/spreadsheets/d/1-uDff_7J0KD5mKrp0Vvzr7lt3OU09vwQwhkpOPPYv2Y/edit?usp=sharing"",""งบพรบ!CI82"")"),0)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IFERROR(__xludf.DUMMYFUNCTION("IMPORTRANGE(""https://docs.google.com/spreadsheets/d/1eHaY18a8A9IcSdp1K8H6x8fbOy06t2VsZHhMHf-1x7Y/edit?usp=sharing"",""แผน!Z82"")"),0)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IFERROR(__xludf.DUMMYFUNCTION("IMPORTRANGE(""https://docs.google.com/spreadsheets/d/1eHaY18a8A9IcSdp1K8H6x8fbOy06t2VsZHhMHf-1x7Y/edit?usp=sharing"",""แผน!Z82"")"),0)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IFERROR(__xludf.DUMMYFUNCTION("IMPORTRANGE(""https://docs.google.com/spreadsheets/d/1eHaY18a8A9IcSdp1K8H6x8fbOy06t2VsZHhMHf-1x7Y/edit?usp=sharing"",""แผน!Z82"")"),0)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hidden="1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hidden="1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0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hidden="1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0</v>
      </c>
      <c r="M173" s="141">
        <f ca="1">M174+M175</f>
        <v>0</v>
      </c>
      <c r="N173" s="141">
        <f ca="1">N174+N175</f>
        <v>0</v>
      </c>
      <c r="O173" s="141">
        <f ca="1">IF(L173&gt;0,N173*100/L173,0)</f>
        <v>0</v>
      </c>
      <c r="P173" s="141">
        <f ca="1">IF(M173&gt;0,N173*100/M173,0)</f>
        <v>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hidden="1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0</v>
      </c>
      <c r="M175" s="48">
        <f ca="1">M178+M181</f>
        <v>0</v>
      </c>
      <c r="N175" s="48">
        <f ca="1">N178+N181</f>
        <v>0</v>
      </c>
      <c r="O175" s="48">
        <f ca="1">IF(L175&gt;0,N175*100/L175,0)</f>
        <v>0</v>
      </c>
      <c r="P175" s="48">
        <f ca="1">IF(M175&gt;0,N175*100/M175,0)</f>
        <v>0</v>
      </c>
    </row>
    <row r="176" spans="1:16" ht="18.75" hidden="1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0</v>
      </c>
      <c r="M176" s="48">
        <f ca="1">M177+M178</f>
        <v>0</v>
      </c>
      <c r="N176" s="48">
        <f ca="1">N177+N178</f>
        <v>0</v>
      </c>
      <c r="O176" s="48">
        <f ca="1">IF(L176&gt;0,N176*100/L176,0)</f>
        <v>0</v>
      </c>
      <c r="P176" s="48">
        <f ca="1">IF(M176&gt;0,N176*100/M176,0)</f>
        <v>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hidden="1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IFERROR(__xludf.DUMMYFUNCTION("IMPORTRANGE(""https://docs.google.com/spreadsheets/d/1-uDff_7J0KD5mKrp0Vvzr7lt3OU09vwQwhkpOPPYv2Y/edit?usp=sharing"",""งบพรบ!CK82"")"),0)</f>
        <v>0</v>
      </c>
      <c r="M178" s="48">
        <f ca="1">IFERROR(__xludf.DUMMYFUNCTION("IMPORTRANGE(""https://docs.google.com/spreadsheets/d/1-uDff_7J0KD5mKrp0Vvzr7lt3OU09vwQwhkpOPPYv2Y/edit?usp=sharing"",""งบพรบ!CP82"")"),0)</f>
        <v>0</v>
      </c>
      <c r="N178" s="48">
        <f ca="1">IFERROR(__xludf.DUMMYFUNCTION("IMPORTRANGE(""https://docs.google.com/spreadsheets/d/1-uDff_7J0KD5mKrp0Vvzr7lt3OU09vwQwhkpOPPYv2Y/edit?usp=sharing"",""งบพรบ!CR82"")"),0)</f>
        <v>0</v>
      </c>
      <c r="O178" s="48">
        <f ca="1">IF(L178&gt;0,N178*100/L178,0)</f>
        <v>0</v>
      </c>
      <c r="P178" s="48">
        <f ca="1">IF(M178&gt;0,N178*100/M178,0)</f>
        <v>0</v>
      </c>
    </row>
    <row r="179" spans="1:16" ht="18.75" hidden="1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hidden="1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IFERROR(__xludf.DUMMYFUNCTION("IMPORTRANGE(""https://docs.google.com/spreadsheets/d/1-uDff_7J0KD5mKrp0Vvzr7lt3OU09vwQwhkpOPPYv2Y/edit?usp=sharing"",""งบพรบ!CN82"")"),0)</f>
        <v>0</v>
      </c>
      <c r="M181" s="48">
        <f ca="1">IFERROR(__xludf.DUMMYFUNCTION("IMPORTRANGE(""https://docs.google.com/spreadsheets/d/1-uDff_7J0KD5mKrp0Vvzr7lt3OU09vwQwhkpOPPYv2Y/edit?usp=sharing"",""งบพรบ!CQ82"")"),0)</f>
        <v>0</v>
      </c>
      <c r="N181" s="48">
        <f ca="1">IFERROR(__xludf.DUMMYFUNCTION("IMPORTRANGE(""https://docs.google.com/spreadsheets/d/1-uDff_7J0KD5mKrp0Vvzr7lt3OU09vwQwhkpOPPYv2Y/edit?usp=sharing"",""งบพรบ!CS82"")"),0)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hidden="1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hidden="1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IFERROR(__xludf.DUMMYFUNCTION("IMPORTRANGE(""https://docs.google.com/spreadsheets/d/1eHaY18a8A9IcSdp1K8H6x8fbOy06t2VsZHhMHf-1x7Y/edit?usp=sharing"",""แผน!AA82"")"),0)</f>
        <v>0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23500</v>
      </c>
      <c r="M186" s="141">
        <f ca="1">M187+M188</f>
        <v>13500</v>
      </c>
      <c r="N186" s="141">
        <f ca="1">N187+N188</f>
        <v>0</v>
      </c>
      <c r="O186" s="141">
        <f ca="1">IF(L186&gt;0,N186*100/L186,0)</f>
        <v>0</v>
      </c>
      <c r="P186" s="141">
        <f ca="1">IF(M186&gt;0,N186*100/M186,0)</f>
        <v>0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23500</v>
      </c>
      <c r="M188" s="48">
        <f ca="1">M191+M194</f>
        <v>13500</v>
      </c>
      <c r="N188" s="48">
        <f ca="1">N191+N194</f>
        <v>0</v>
      </c>
      <c r="O188" s="48">
        <f ca="1">IF(L188&gt;0,N188*100/L188,0)</f>
        <v>0</v>
      </c>
      <c r="P188" s="48">
        <f ca="1">IF(M188&gt;0,N188*100/M188,0)</f>
        <v>0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23500</v>
      </c>
      <c r="M189" s="48">
        <f ca="1">M190+M191</f>
        <v>13500</v>
      </c>
      <c r="N189" s="48">
        <f ca="1">N190+N191</f>
        <v>0</v>
      </c>
      <c r="O189" s="48">
        <f ca="1">IF(L189&gt;0,N189*100/L189,0)</f>
        <v>0</v>
      </c>
      <c r="P189" s="48">
        <f ca="1">IF(M189&gt;0,N189*100/M189,0)</f>
        <v>0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IFERROR(__xludf.DUMMYFUNCTION("IMPORTRANGE(""https://docs.google.com/spreadsheets/d/1-uDff_7J0KD5mKrp0Vvzr7lt3OU09vwQwhkpOPPYv2Y/edit?usp=sharing"",""งบพรบ!CU82"")"),23500)</f>
        <v>23500</v>
      </c>
      <c r="M191" s="48">
        <f ca="1">IFERROR(__xludf.DUMMYFUNCTION("IMPORTRANGE(""https://docs.google.com/spreadsheets/d/1-uDff_7J0KD5mKrp0Vvzr7lt3OU09vwQwhkpOPPYv2Y/edit?usp=sharing"",""งบพรบ!CZ82"")"),13500)</f>
        <v>13500</v>
      </c>
      <c r="N191" s="48">
        <f ca="1">IFERROR(__xludf.DUMMYFUNCTION("IMPORTRANGE(""https://docs.google.com/spreadsheets/d/1-uDff_7J0KD5mKrp0Vvzr7lt3OU09vwQwhkpOPPYv2Y/edit?usp=sharing"",""งบพรบ!DB82"")"),0)</f>
        <v>0</v>
      </c>
      <c r="O191" s="48">
        <f ca="1">IF(L191&gt;0,N191*100/L191,0)</f>
        <v>0</v>
      </c>
      <c r="P191" s="48">
        <f ca="1">IF(M191&gt;0,N191*100/M191,0)</f>
        <v>0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IFERROR(__xludf.DUMMYFUNCTION("IMPORTRANGE(""https://docs.google.com/spreadsheets/d/1-uDff_7J0KD5mKrp0Vvzr7lt3OU09vwQwhkpOPPYv2Y/edit?usp=sharing"",""งบพรบ!CX82"")"),0)</f>
        <v>0</v>
      </c>
      <c r="M194" s="48">
        <f ca="1">IFERROR(__xludf.DUMMYFUNCTION("IMPORTRANGE(""https://docs.google.com/spreadsheets/d/1-uDff_7J0KD5mKrp0Vvzr7lt3OU09vwQwhkpOPPYv2Y/edit?usp=sharing"",""งบพรบ!DA82"")"),0)</f>
        <v>0</v>
      </c>
      <c r="N194" s="48">
        <f ca="1">IFERROR(__xludf.DUMMYFUNCTION("IMPORTRANGE(""https://docs.google.com/spreadsheets/d/1-uDff_7J0KD5mKrp0Vvzr7lt3OU09vwQwhkpOPPYv2Y/edit?usp=sharing"",""งบพรบ!DC82"")"),0)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IFERROR(__xludf.DUMMYFUNCTION("IMPORTRANGE(""https://docs.google.com/spreadsheets/d/1eHaY18a8A9IcSdp1K8H6x8fbOy06t2VsZHhMHf-1x7Y/edit?usp=sharing"",""แผน!AB82"")"),6000)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IFERROR(__xludf.DUMMYFUNCTION("IMPORTRANGE(""https://docs.google.com/spreadsheets/d/1eHaY18a8A9IcSdp1K8H6x8fbOy06t2VsZHhMHf-1x7Y/edit?usp=sharing"",""แผน!AE82"")"),4)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1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13000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x14ac:dyDescent="0.25">
      <c r="A204" s="137"/>
      <c r="B204" s="229"/>
      <c r="C204" s="42"/>
      <c r="D204" s="247" t="s">
        <v>80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IFERROR(__xludf.DUMMYFUNCTION("IMPORTRANGE(""https://docs.google.com/spreadsheets/d/1eHaY18a8A9IcSdp1K8H6x8fbOy06t2VsZHhMHf-1x7Y/edit?usp=sharing"",""แผน!AG82"")"),1000)</f>
        <v>1000</v>
      </c>
      <c r="M204" s="47"/>
      <c r="N204" s="249">
        <v>0</v>
      </c>
      <c r="O204" s="146"/>
      <c r="P204" s="47"/>
    </row>
    <row r="205" spans="1:16" ht="18.75" x14ac:dyDescent="0.25">
      <c r="A205" s="228"/>
      <c r="B205" s="229"/>
      <c r="C205" s="42"/>
      <c r="D205" s="52" t="s">
        <v>81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IFERROR(__xludf.DUMMYFUNCTION("IMPORTRANGE(""https://docs.google.com/spreadsheets/d/1eHaY18a8A9IcSdp1K8H6x8fbOy06t2VsZHhMHf-1x7Y/edit?usp=sharing"",""แผน!AH82"")"),0)</f>
        <v>0</v>
      </c>
      <c r="M205" s="47"/>
      <c r="N205" s="249">
        <v>0</v>
      </c>
      <c r="O205" s="146"/>
      <c r="P205" s="47"/>
    </row>
    <row r="206" spans="1:16" ht="18.75" x14ac:dyDescent="0.25">
      <c r="A206" s="228"/>
      <c r="B206" s="229"/>
      <c r="C206" s="42"/>
      <c r="D206" s="52" t="s">
        <v>82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IFERROR(__xludf.DUMMYFUNCTION("IMPORTRANGE(""https://docs.google.com/spreadsheets/d/1eHaY18a8A9IcSdp1K8H6x8fbOy06t2VsZHhMHf-1x7Y/edit?usp=sharing"",""แผน!AI82"")"),8000)</f>
        <v>8000</v>
      </c>
      <c r="M206" s="47"/>
      <c r="N206" s="249">
        <v>0</v>
      </c>
      <c r="O206" s="146"/>
      <c r="P206" s="47"/>
    </row>
    <row r="207" spans="1:16" ht="18.75" x14ac:dyDescent="0.25">
      <c r="A207" s="228"/>
      <c r="B207" s="229"/>
      <c r="C207" s="42"/>
      <c r="D207" s="52" t="s">
        <v>83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IFERROR(__xludf.DUMMYFUNCTION("IMPORTRANGE(""https://docs.google.com/spreadsheets/d/1eHaY18a8A9IcSdp1K8H6x8fbOy06t2VsZHhMHf-1x7Y/edit?usp=sharing"",""แผน!AJ82"")"),4000)</f>
        <v>4000</v>
      </c>
      <c r="M207" s="47"/>
      <c r="N207" s="249">
        <v>0</v>
      </c>
      <c r="O207" s="146"/>
      <c r="P207" s="47"/>
    </row>
    <row r="208" spans="1:16" ht="19.5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IFERROR(__xludf.DUMMYFUNCTION("IMPORTRANGE(""https://docs.google.com/spreadsheets/d/1eHaY18a8A9IcSdp1K8H6x8fbOy06t2VsZHhMHf-1x7Y/edit?usp=sharing"",""แผน!AK82"")"),1)</f>
        <v>1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IFERROR(__xludf.DUMMYFUNCTION("IMPORTRANGE(""https://docs.google.com/spreadsheets/d/1eHaY18a8A9IcSdp1K8H6x8fbOy06t2VsZHhMHf-1x7Y/edit?usp=sharing"",""แผน!AK82"")"),1)</f>
        <v>1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IFERROR(__xludf.DUMMYFUNCTION("IMPORTRANGE(""https://docs.google.com/spreadsheets/d/1eHaY18a8A9IcSdp1K8H6x8fbOy06t2VsZHhMHf-1x7Y/edit?usp=sharing"",""แผน!AK82"")"),1)</f>
        <v>1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hidden="1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hidden="1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hidden="1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IFERROR(__xludf.DUMMYFUNCTION("IMPORTRANGE(""https://docs.google.com/spreadsheets/d/1eHaY18a8A9IcSdp1K8H6x8fbOy06t2VsZHhMHf-1x7Y/edit?usp=sharing"",""แผน!AM82"")"),0)</f>
        <v>0</v>
      </c>
      <c r="M215" s="47"/>
      <c r="N215" s="249">
        <v>0</v>
      </c>
      <c r="O215" s="146"/>
      <c r="P215" s="47"/>
    </row>
    <row r="216" spans="1:16" ht="18.75" hidden="1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IFERROR(__xludf.DUMMYFUNCTION("IMPORTRANGE(""https://docs.google.com/spreadsheets/d/1eHaY18a8A9IcSdp1K8H6x8fbOy06t2VsZHhMHf-1x7Y/edit?usp=sharing"",""แผน!AN82"")"),0)</f>
        <v>0</v>
      </c>
      <c r="M216" s="47"/>
      <c r="N216" s="249">
        <v>0</v>
      </c>
      <c r="O216" s="146"/>
      <c r="P216" s="47"/>
    </row>
    <row r="217" spans="1:16" ht="18.75" hidden="1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IFERROR(__xludf.DUMMYFUNCTION("IMPORTRANGE(""https://docs.google.com/spreadsheets/d/1eHaY18a8A9IcSdp1K8H6x8fbOy06t2VsZHhMHf-1x7Y/edit?usp=sharing"",""แผน!AO82"")"),0)</f>
        <v>0</v>
      </c>
      <c r="M217" s="47"/>
      <c r="N217" s="249">
        <v>0</v>
      </c>
      <c r="O217" s="146"/>
      <c r="P217" s="47"/>
    </row>
    <row r="218" spans="1:16" ht="19.5" hidden="1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hidden="1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IFERROR(__xludf.DUMMYFUNCTION("IMPORTRANGE(""https://docs.google.com/spreadsheets/d/1eHaY18a8A9IcSdp1K8H6x8fbOy06t2VsZHhMHf-1x7Y/edit?usp=sharing"",""แผน!AP82"")"),0)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hidden="1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IFERROR(__xludf.DUMMYFUNCTION("IMPORTRANGE(""https://docs.google.com/spreadsheets/d/1eHaY18a8A9IcSdp1K8H6x8fbOy06t2VsZHhMHf-1x7Y/edit?usp=sharing"",""แผน!AP82"")"),0)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10000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4500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x14ac:dyDescent="0.25">
      <c r="A223" s="137"/>
      <c r="B223" s="229"/>
      <c r="C223" s="42"/>
      <c r="D223" s="247" t="s">
        <v>95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IFERROR(__xludf.DUMMYFUNCTION("IMPORTRANGE(""https://docs.google.com/spreadsheets/d/1eHaY18a8A9IcSdp1K8H6x8fbOy06t2VsZHhMHf-1x7Y/edit?usp=sharing"",""แผน!AR82"")"),3000)</f>
        <v>3000</v>
      </c>
      <c r="M223" s="47"/>
      <c r="N223" s="249">
        <v>0</v>
      </c>
      <c r="O223" s="146"/>
      <c r="P223" s="47"/>
    </row>
    <row r="224" spans="1:16" ht="18.75" x14ac:dyDescent="0.25">
      <c r="A224" s="228"/>
      <c r="B224" s="229"/>
      <c r="C224" s="229"/>
      <c r="D224" s="52" t="s">
        <v>96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IFERROR(__xludf.DUMMYFUNCTION("IMPORTRANGE(""https://docs.google.com/spreadsheets/d/1eHaY18a8A9IcSdp1K8H6x8fbOy06t2VsZHhMHf-1x7Y/edit?usp=sharing"",""แผน!AS82"")"),1500)</f>
        <v>1500</v>
      </c>
      <c r="M224" s="47"/>
      <c r="N224" s="249">
        <v>0</v>
      </c>
      <c r="O224" s="146"/>
      <c r="P224" s="47"/>
    </row>
    <row r="225" spans="1:16" ht="18.75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IFERROR(__xludf.DUMMYFUNCTION("IMPORTRANGE(""https://docs.google.com/spreadsheets/d/1eHaY18a8A9IcSdp1K8H6x8fbOy06t2VsZHhMHf-1x7Y/edit?usp=sharing"",""แผน!AT82"")"),0)</f>
        <v>0</v>
      </c>
      <c r="M225" s="47"/>
      <c r="N225" s="249">
        <v>0</v>
      </c>
      <c r="O225" s="146"/>
      <c r="P225" s="47"/>
    </row>
    <row r="226" spans="1:16" ht="19.5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IFERROR(__xludf.DUMMYFUNCTION("IMPORTRANGE(""https://docs.google.com/spreadsheets/d/1eHaY18a8A9IcSdp1K8H6x8fbOy06t2VsZHhMHf-1x7Y/edit?usp=sharing"",""แผน!AV82"")"),10000)</f>
        <v>10000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IFERROR(__xludf.DUMMYFUNCTION("IMPORTRANGE(""https://docs.google.com/spreadsheets/d/1eHaY18a8A9IcSdp1K8H6x8fbOy06t2VsZHhMHf-1x7Y/edit?usp=sharing"",""แผน!AV82"")"),10000)</f>
        <v>10000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IFERROR(__xludf.DUMMYFUNCTION("IMPORTRANGE(""https://docs.google.com/spreadsheets/d/1eHaY18a8A9IcSdp1K8H6x8fbOy06t2VsZHhMHf-1x7Y/edit?usp=sharing"",""แผน!AU82"")"),0)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IFERROR(__xludf.DUMMYFUNCTION("IMPORTRANGE(""https://docs.google.com/spreadsheets/d/1eHaY18a8A9IcSdp1K8H6x8fbOy06t2VsZHhMHf-1x7Y/edit?usp=sharing"",""แผน!AX82"")"),0)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IFERROR(__xludf.DUMMYFUNCTION("IMPORTRANGE(""https://docs.google.com/spreadsheets/d/1eHaY18a8A9IcSdp1K8H6x8fbOy06t2VsZHhMHf-1x7Y/edit?usp=sharing"",""แผน!AY82"")"),0)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IFERROR(__xludf.DUMMYFUNCTION("IMPORTRANGE(""https://docs.google.com/spreadsheets/d/1eHaY18a8A9IcSdp1K8H6x8fbOy06t2VsZHhMHf-1x7Y/edit?usp=sharing"",""แผน!AZ82"")"),0)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IFERROR(__xludf.DUMMYFUNCTION("IMPORTRANGE(""https://docs.google.com/spreadsheets/d/1eHaY18a8A9IcSdp1K8H6x8fbOy06t2VsZHhMHf-1x7Y/edit?usp=sharing"",""แผน!BA82"")"),0)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IFERROR(__xludf.DUMMYFUNCTION("IMPORTRANGE(""https://docs.google.com/spreadsheets/d/1eHaY18a8A9IcSdp1K8H6x8fbOy06t2VsZHhMHf-1x7Y/edit?usp=sharing"",""แผน!BG82"")"),0)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IFERROR(__xludf.DUMMYFUNCTION("IMPORTRANGE(""https://docs.google.com/spreadsheets/d/1eHaY18a8A9IcSdp1K8H6x8fbOy06t2VsZHhMHf-1x7Y/edit?usp=sharing"",""แผน!BB82"")"),0)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IFERROR(__xludf.DUMMYFUNCTION("IMPORTRANGE(""https://docs.google.com/spreadsheets/d/1eHaY18a8A9IcSdp1K8H6x8fbOy06t2VsZHhMHf-1x7Y/edit?usp=sharing"",""แผน!BC82"")"),0)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IFERROR(__xludf.DUMMYFUNCTION("IMPORTRANGE(""https://docs.google.com/spreadsheets/d/1eHaY18a8A9IcSdp1K8H6x8fbOy06t2VsZHhMHf-1x7Y/edit?usp=sharing"",""แผน!BD82"")"),0)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IFERROR(__xludf.DUMMYFUNCTION("IMPORTRANGE(""https://docs.google.com/spreadsheets/d/1eHaY18a8A9IcSdp1K8H6x8fbOy06t2VsZHhMHf-1x7Y/edit?usp=sharing"",""แผน!BE82"")"),0)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IFERROR(__xludf.DUMMYFUNCTION("IMPORTRANGE(""https://docs.google.com/spreadsheets/d/1eHaY18a8A9IcSdp1K8H6x8fbOy06t2VsZHhMHf-1x7Y/edit?usp=sharing"",""แผน!BH82"")"),0)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IFERROR(__xludf.DUMMYFUNCTION("IMPORTRANGE(""https://docs.google.com/spreadsheets/d/1-uDff_7J0KD5mKrp0Vvzr7lt3OU09vwQwhkpOPPYv2Y/edit?usp=sharing"",""งบพรบ!DE82"")"),0)</f>
        <v>0</v>
      </c>
      <c r="M271" s="51">
        <f ca="1">IFERROR(__xludf.DUMMYFUNCTION("IMPORTRANGE(""https://docs.google.com/spreadsheets/d/1-uDff_7J0KD5mKrp0Vvzr7lt3OU09vwQwhkpOPPYv2Y/edit?usp=sharing"",""งบพรบ!DJ82"")"),0)</f>
        <v>0</v>
      </c>
      <c r="N271" s="51">
        <f ca="1">IFERROR(__xludf.DUMMYFUNCTION("IMPORTRANGE(""https://docs.google.com/spreadsheets/d/1-uDff_7J0KD5mKrp0Vvzr7lt3OU09vwQwhkpOPPYv2Y/edit?usp=sharing"",""งบพรบ!DL82"")"),0)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IFERROR(__xludf.DUMMYFUNCTION("IMPORTRANGE(""https://docs.google.com/spreadsheets/d/1-uDff_7J0KD5mKrp0Vvzr7lt3OU09vwQwhkpOPPYv2Y/edit?usp=sharing"",""งบพรบ!DH82"")"),0)</f>
        <v>0</v>
      </c>
      <c r="M274" s="51">
        <f ca="1">IFERROR(__xludf.DUMMYFUNCTION("IMPORTRANGE(""https://docs.google.com/spreadsheets/d/1-uDff_7J0KD5mKrp0Vvzr7lt3OU09vwQwhkpOPPYv2Y/edit?usp=sharing"",""งบพรบ!DK82"")"),0)</f>
        <v>0</v>
      </c>
      <c r="N274" s="51">
        <f ca="1">IFERROR(__xludf.DUMMYFUNCTION("IMPORTRANGE(""https://docs.google.com/spreadsheets/d/1-uDff_7J0KD5mKrp0Vvzr7lt3OU09vwQwhkpOPPYv2Y/edit?usp=sharing"",""งบพรบ!DM82"")"),0)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IFERROR(__xludf.DUMMYFUNCTION("IMPORTRANGE(""https://docs.google.com/spreadsheets/d/1-uDff_7J0KD5mKrp0Vvzr7lt3OU09vwQwhkpOPPYv2Y/edit?usp=sharing"",""งบพรบ!DO82"")"),0)</f>
        <v>0</v>
      </c>
      <c r="M287" s="48">
        <f ca="1">IFERROR(__xludf.DUMMYFUNCTION("IMPORTRANGE(""https://docs.google.com/spreadsheets/d/1-uDff_7J0KD5mKrp0Vvzr7lt3OU09vwQwhkpOPPYv2Y/edit?usp=sharing"",""งบพรบ!DT82"")"),0)</f>
        <v>0</v>
      </c>
      <c r="N287" s="48">
        <f ca="1">IFERROR(__xludf.DUMMYFUNCTION("IMPORTRANGE(""https://docs.google.com/spreadsheets/d/1-uDff_7J0KD5mKrp0Vvzr7lt3OU09vwQwhkpOPPYv2Y/edit?usp=sharing"",""งบพรบ!DV82"")"),0)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IFERROR(__xludf.DUMMYFUNCTION("IMPORTRANGE(""https://docs.google.com/spreadsheets/d/1-uDff_7J0KD5mKrp0Vvzr7lt3OU09vwQwhkpOPPYv2Y/edit?usp=sharing"",""งบพรบ!DR82"")"),0)</f>
        <v>0</v>
      </c>
      <c r="M290" s="48">
        <f ca="1">IFERROR(__xludf.DUMMYFUNCTION("IMPORTRANGE(""https://docs.google.com/spreadsheets/d/1-uDff_7J0KD5mKrp0Vvzr7lt3OU09vwQwhkpOPPYv2Y/edit?usp=sharing"",""งบพรบ!DU82"")"),0)</f>
        <v>0</v>
      </c>
      <c r="N290" s="48">
        <f ca="1">IFERROR(__xludf.DUMMYFUNCTION("IMPORTRANGE(""https://docs.google.com/spreadsheets/d/1-uDff_7J0KD5mKrp0Vvzr7lt3OU09vwQwhkpOPPYv2Y/edit?usp=sharing"",""งบพรบ!DW82"")"),0)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IFERROR(__xludf.DUMMYFUNCTION("IMPORTRANGE(""https://docs.google.com/spreadsheets/d/1eHaY18a8A9IcSdp1K8H6x8fbOy06t2VsZHhMHf-1x7Y/edit?usp=sharing"",""แผน!EE82"")"),0)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IFERROR(__xludf.DUMMYFUNCTION("IMPORTRANGE(""https://docs.google.com/spreadsheets/d/1eHaY18a8A9IcSdp1K8H6x8fbOy06t2VsZHhMHf-1x7Y/edit?usp=sharing"",""แผน!ED82"")"),0)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IFERROR(__xludf.DUMMYFUNCTION("IMPORTRANGE(""https://docs.google.com/spreadsheets/d/1eHaY18a8A9IcSdp1K8H6x8fbOy06t2VsZHhMHf-1x7Y/edit?usp=sharing"",""แผน!ED82"")"),0)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IFERROR(__xludf.DUMMYFUNCTION("IMPORTRANGE(""https://docs.google.com/spreadsheets/d/1eHaY18a8A9IcSdp1K8H6x8fbOy06t2VsZHhMHf-1x7Y/edit?usp=sharing"",""แผน!ED82"")"),0)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15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114900</v>
      </c>
      <c r="M303" s="141">
        <f ca="1">M304+M305</f>
        <v>86800</v>
      </c>
      <c r="N303" s="141">
        <f ca="1">N304+N305</f>
        <v>7300</v>
      </c>
      <c r="O303" s="141">
        <f ca="1">IF(L303&gt;0,N303*100/L303,0)</f>
        <v>6.3533507397737159</v>
      </c>
      <c r="P303" s="141">
        <f ca="1">IF(M303&gt;0,N303*100/M303,0)</f>
        <v>8.410138248847927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114900</v>
      </c>
      <c r="M305" s="48">
        <f ca="1">M308+M311</f>
        <v>86800</v>
      </c>
      <c r="N305" s="48">
        <f ca="1">N308+N311</f>
        <v>7300</v>
      </c>
      <c r="O305" s="48">
        <f ca="1">IF(L305&gt;0,N305*100/L305,0)</f>
        <v>6.3533507397737159</v>
      </c>
      <c r="P305" s="48">
        <f ca="1">IF(M305&gt;0,N305*100/M305,0)</f>
        <v>8.410138248847927</v>
      </c>
    </row>
    <row r="306" spans="1:16" ht="18.75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114900</v>
      </c>
      <c r="M306" s="48">
        <f ca="1">M307+M308</f>
        <v>86800</v>
      </c>
      <c r="N306" s="48">
        <f ca="1">N307+N308</f>
        <v>7300</v>
      </c>
      <c r="O306" s="48">
        <f ca="1">IF(L306&gt;0,N306*100/L306,0)</f>
        <v>6.3533507397737159</v>
      </c>
      <c r="P306" s="48">
        <f ca="1">IF(M306&gt;0,N306*100/M306,0)</f>
        <v>8.410138248847927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IFERROR(__xludf.DUMMYFUNCTION("IMPORTRANGE(""https://docs.google.com/spreadsheets/d/1-uDff_7J0KD5mKrp0Vvzr7lt3OU09vwQwhkpOPPYv2Y/edit?usp=sharing"",""งบพรบ!DY82"")"),114900)</f>
        <v>114900</v>
      </c>
      <c r="M308" s="48">
        <f ca="1">IFERROR(__xludf.DUMMYFUNCTION("IMPORTRANGE(""https://docs.google.com/spreadsheets/d/1-uDff_7J0KD5mKrp0Vvzr7lt3OU09vwQwhkpOPPYv2Y/edit?usp=sharing"",""งบพรบ!ED82"")"),86800)</f>
        <v>86800</v>
      </c>
      <c r="N308" s="48">
        <f ca="1">IFERROR(__xludf.DUMMYFUNCTION("IMPORTRANGE(""https://docs.google.com/spreadsheets/d/1-uDff_7J0KD5mKrp0Vvzr7lt3OU09vwQwhkpOPPYv2Y/edit?usp=sharing"",""งบพรบ!EF82"")"),7300)</f>
        <v>7300</v>
      </c>
      <c r="O308" s="48">
        <f ca="1">IF(L308&gt;0,N308*100/L308,0)</f>
        <v>6.3533507397737159</v>
      </c>
      <c r="P308" s="48">
        <f ca="1">IF(M308&gt;0,N308*100/M308,0)</f>
        <v>8.410138248847927</v>
      </c>
    </row>
    <row r="309" spans="1:16" ht="18.75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IFERROR(__xludf.DUMMYFUNCTION("IMPORTRANGE(""https://docs.google.com/spreadsheets/d/1-uDff_7J0KD5mKrp0Vvzr7lt3OU09vwQwhkpOPPYv2Y/edit?usp=sharing"",""งบพรบ!EB82"")"),0)</f>
        <v>0</v>
      </c>
      <c r="M311" s="48">
        <f ca="1">IFERROR(__xludf.DUMMYFUNCTION("IMPORTRANGE(""https://docs.google.com/spreadsheets/d/1-uDff_7J0KD5mKrp0Vvzr7lt3OU09vwQwhkpOPPYv2Y/edit?usp=sharing"",""งบพรบ!EE82"")"),0)</f>
        <v>0</v>
      </c>
      <c r="N311" s="48">
        <f ca="1">IFERROR(__xludf.DUMMYFUNCTION("IMPORTRANGE(""https://docs.google.com/spreadsheets/d/1-uDff_7J0KD5mKrp0Vvzr7lt3OU09vwQwhkpOPPYv2Y/edit?usp=sharing"",""งบพรบ!EG82"")"),0)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IFERROR(__xludf.DUMMYFUNCTION("IMPORTRANGE(""https://docs.google.com/spreadsheets/d/1eHaY18a8A9IcSdp1K8H6x8fbOy06t2VsZHhMHf-1x7Y/edit?usp=sharing"",""แผน!EF82"")"),15)</f>
        <v>15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IFERROR(__xludf.DUMMYFUNCTION("IMPORTRANGE(""https://docs.google.com/spreadsheets/d/1eHaY18a8A9IcSdp1K8H6x8fbOy06t2VsZHhMHf-1x7Y/edit?usp=sharing"",""แผน!EG82"")"),3)</f>
        <v>3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IFERROR(__xludf.DUMMYFUNCTION("IMPORTRANGE(""https://docs.google.com/spreadsheets/d/1eHaY18a8A9IcSdp1K8H6x8fbOy06t2VsZHhMHf-1x7Y/edit?usp=sharing"",""แผน!EH82"")"),15)</f>
        <v>15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IFERROR(__xludf.DUMMYFUNCTION("IMPORTRANGE(""https://docs.google.com/spreadsheets/d/1eHaY18a8A9IcSdp1K8H6x8fbOy06t2VsZHhMHf-1x7Y/edit?usp=sharing"",""แผน!EI82"")"),3)</f>
        <v>3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IFERROR(__xludf.DUMMYFUNCTION("IMPORTRANGE(""https://docs.google.com/spreadsheets/d/1-uDff_7J0KD5mKrp0Vvzr7lt3OU09vwQwhkpOPPYv2Y/edit?usp=sharing"",""งบพรบ!EI82"")"),0)</f>
        <v>0</v>
      </c>
      <c r="M325" s="48">
        <f ca="1">IFERROR(__xludf.DUMMYFUNCTION("IMPORTRANGE(""https://docs.google.com/spreadsheets/d/1-uDff_7J0KD5mKrp0Vvzr7lt3OU09vwQwhkpOPPYv2Y/edit?usp=sharing"",""งบพรบ!EN82"")"),0)</f>
        <v>0</v>
      </c>
      <c r="N325" s="48">
        <f ca="1">IFERROR(__xludf.DUMMYFUNCTION("IMPORTRANGE(""https://docs.google.com/spreadsheets/d/1-uDff_7J0KD5mKrp0Vvzr7lt3OU09vwQwhkpOPPYv2Y/edit?usp=sharing"",""งบพรบ!EP82"")"),0)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IFERROR(__xludf.DUMMYFUNCTION("IMPORTRANGE(""https://docs.google.com/spreadsheets/d/1-uDff_7J0KD5mKrp0Vvzr7lt3OU09vwQwhkpOPPYv2Y/edit?usp=sharing"",""งบพรบ!EL82"")"),0)</f>
        <v>0</v>
      </c>
      <c r="M328" s="48">
        <f ca="1">IFERROR(__xludf.DUMMYFUNCTION("IMPORTRANGE(""https://docs.google.com/spreadsheets/d/1-uDff_7J0KD5mKrp0Vvzr7lt3OU09vwQwhkpOPPYv2Y/edit?usp=sharing"",""งบพรบ!EO82"")"),0)</f>
        <v>0</v>
      </c>
      <c r="N328" s="48">
        <f ca="1">IFERROR(__xludf.DUMMYFUNCTION("IMPORTRANGE(""https://docs.google.com/spreadsheets/d/1-uDff_7J0KD5mKrp0Vvzr7lt3OU09vwQwhkpOPPYv2Y/edit?usp=sharing"",""งบพรบ!EQ82"")"),0)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IFERROR(__xludf.DUMMYFUNCTION("IMPORTRANGE(""https://docs.google.com/spreadsheets/d/1eHaY18a8A9IcSdp1K8H6x8fbOy06t2VsZHhMHf-1x7Y/edit?usp=sharing"",""แผน!EJ82"")"),0)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800</v>
      </c>
      <c r="J332" s="352">
        <f ca="1">J344+J347+J348+J349+J353</f>
        <v>210</v>
      </c>
      <c r="K332" s="353">
        <f ca="1">IF(I332&gt;0,J332*100/I332,0)</f>
        <v>26.25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102000</v>
      </c>
      <c r="M333" s="141">
        <f ca="1">M334+M335</f>
        <v>81750</v>
      </c>
      <c r="N333" s="141">
        <f ca="1">N334+N335</f>
        <v>14200</v>
      </c>
      <c r="O333" s="141">
        <f ca="1">IF(L333&gt;0,N333*100/L333,0)</f>
        <v>13.921568627450981</v>
      </c>
      <c r="P333" s="141">
        <f ca="1">IF(M333&gt;0,N333*100/M333,0)</f>
        <v>17.370030581039757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102000</v>
      </c>
      <c r="M335" s="48">
        <f ca="1">M338+M341</f>
        <v>81750</v>
      </c>
      <c r="N335" s="48">
        <f ca="1">N338+N341</f>
        <v>14200</v>
      </c>
      <c r="O335" s="48">
        <f ca="1">IF(L335&gt;0,N335*100/L335,0)</f>
        <v>13.921568627450981</v>
      </c>
      <c r="P335" s="48">
        <f ca="1">IF(M335&gt;0,N335*100/M335,0)</f>
        <v>17.370030581039757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102000</v>
      </c>
      <c r="M336" s="48">
        <f ca="1">M337+M338</f>
        <v>81750</v>
      </c>
      <c r="N336" s="48">
        <f ca="1">N337+N338</f>
        <v>14200</v>
      </c>
      <c r="O336" s="48">
        <f ca="1">IF(L336&gt;0,N336*100/L336,0)</f>
        <v>13.921568627450981</v>
      </c>
      <c r="P336" s="48">
        <f ca="1">IF(M336&gt;0,N336*100/M336,0)</f>
        <v>17.370030581039757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IFERROR(__xludf.DUMMYFUNCTION("IMPORTRANGE(""https://docs.google.com/spreadsheets/d/1-uDff_7J0KD5mKrp0Vvzr7lt3OU09vwQwhkpOPPYv2Y/edit?usp=sharing"",""งบพรบ!ES82"")"),102000)</f>
        <v>102000</v>
      </c>
      <c r="M338" s="48">
        <f ca="1">IFERROR(__xludf.DUMMYFUNCTION("IMPORTRANGE(""https://docs.google.com/spreadsheets/d/1-uDff_7J0KD5mKrp0Vvzr7lt3OU09vwQwhkpOPPYv2Y/edit?usp=sharing"",""งบพรบ!EX82"")"),81750)</f>
        <v>81750</v>
      </c>
      <c r="N338" s="48">
        <f ca="1">IFERROR(__xludf.DUMMYFUNCTION("IMPORTRANGE(""https://docs.google.com/spreadsheets/d/1-uDff_7J0KD5mKrp0Vvzr7lt3OU09vwQwhkpOPPYv2Y/edit?usp=sharing"",""งบพรบ!EZ82"")"),14200)</f>
        <v>14200</v>
      </c>
      <c r="O338" s="48">
        <f ca="1">IF(L338&gt;0,N338*100/L338,0)</f>
        <v>13.921568627450981</v>
      </c>
      <c r="P338" s="48">
        <f ca="1">IF(M338&gt;0,N338*100/M338,0)</f>
        <v>17.370030581039757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IFERROR(__xludf.DUMMYFUNCTION("IMPORTRANGE(""https://docs.google.com/spreadsheets/d/1-uDff_7J0KD5mKrp0Vvzr7lt3OU09vwQwhkpOPPYv2Y/edit?usp=sharing"",""งบพรบ!EV82"")"),0)</f>
        <v>0</v>
      </c>
      <c r="M341" s="48">
        <f ca="1">IFERROR(__xludf.DUMMYFUNCTION("IMPORTRANGE(""https://docs.google.com/spreadsheets/d/1-uDff_7J0KD5mKrp0Vvzr7lt3OU09vwQwhkpOPPYv2Y/edit?usp=sharing"",""งบพรบ!EY82"")"),0)</f>
        <v>0</v>
      </c>
      <c r="N341" s="48">
        <f ca="1">IFERROR(__xludf.DUMMYFUNCTION("IMPORTRANGE(""https://docs.google.com/spreadsheets/d/1-uDff_7J0KD5mKrp0Vvzr7lt3OU09vwQwhkpOPPYv2Y/edit?usp=sharing"",""งบพรบ!FA82"")"),0)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0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IFERROR(__xludf.DUMMYFUNCTION("IMPORTRANGE(""https://docs.google.com/spreadsheets/d/1eHaY18a8A9IcSdp1K8H6x8fbOy06t2VsZHhMHf-1x7Y/edit?usp=sharing"",""แผน!EK82"")"),800)</f>
        <v>800</v>
      </c>
      <c r="J344" s="170">
        <f ca="1">IFERROR(__xludf.DUMMYFUNCTION("IMPORTRANGE(""https://docs.google.com/spreadsheets/d/1awYsYK3VOup2i3Pq_Yjnu8DRu_mYwSBnCR2QPthd0rU/edit?usp=sharing"",""ศูนย์ยกเว้นโฉนด!D82"")"),0)</f>
        <v>0</v>
      </c>
      <c r="K344" s="48">
        <f ca="1">IF(I344&gt;0,J344*100/I344,0)</f>
        <v>0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IFERROR(__xludf.DUMMYFUNCTION("IMPORTRANGE(""https://docs.google.com/spreadsheets/d/1eHaY18a8A9IcSdp1K8H6x8fbOy06t2VsZHhMHf-1x7Y/edit?usp=sharing"",""แผน!EL82"")"),1)</f>
        <v>1</v>
      </c>
      <c r="J346" s="170">
        <f ca="1">IFERROR(__xludf.DUMMYFUNCTION("IMPORTRANGE(""https://docs.google.com/spreadsheets/d/1awYsYK3VOup2i3Pq_Yjnu8DRu_mYwSBnCR2QPthd0rU/edit?usp=sharing"",""ศูนย์รวม!E82"")"),2)</f>
        <v>2</v>
      </c>
      <c r="K346" s="48">
        <f ca="1">IF(I346&gt;0,J346*100/I346,0)</f>
        <v>200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IFERROR(__xludf.DUMMYFUNCTION("IMPORTRANGE(""https://docs.google.com/spreadsheets/d/1awYsYK3VOup2i3Pq_Yjnu8DRu_mYwSBnCR2QPthd0rU/edit?usp=sharing"",""ศูนย์ยกเว้นโฉนด!F82"")"),0)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IFERROR(__xludf.DUMMYFUNCTION("IMPORTRANGE(""https://docs.google.com/spreadsheets/d/1awYsYK3VOup2i3Pq_Yjnu8DRu_mYwSBnCR2QPthd0rU/edit?usp=sharing"",""ศูนย์ยกเว้นโฉนด!G82"")"),0)</f>
        <v>0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IFERROR(__xludf.DUMMYFUNCTION("IMPORTRANGE(""https://docs.google.com/spreadsheets/d/1awYsYK3VOup2i3Pq_Yjnu8DRu_mYwSBnCR2QPthd0rU/edit?usp=sharing"",""ศูนย์ยกเว้นโฉนด!H82"")"),0)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641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IFERROR(__xludf.DUMMYFUNCTION("IMPORTRANGE(""https://docs.google.com/spreadsheets/d/1awYsYK3VOup2i3Pq_Yjnu8DRu_mYwSBnCR2QPthd0rU/edit?usp=sharing"",""โฉนดM3!G82"")"),431)</f>
        <v>431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IFERROR(__xludf.DUMMYFUNCTION("IMPORTRANGE(""https://docs.google.com/spreadsheets/d/1awYsYK3VOup2i3Pq_Yjnu8DRu_mYwSBnCR2QPthd0rU/edit?usp=sharing"",""โฉนดM3!H82"")"),210)</f>
        <v>210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241735</v>
      </c>
      <c r="M356" s="141">
        <f ca="1">M357+M358</f>
        <v>215735</v>
      </c>
      <c r="N356" s="141">
        <f ca="1">N357+N358</f>
        <v>14536.57</v>
      </c>
      <c r="O356" s="141">
        <f ca="1">IF(L356&gt;0,N356*100/L356,0)</f>
        <v>6.0134320640370653</v>
      </c>
      <c r="P356" s="141">
        <f ca="1">IF(M356&gt;0,N356*100/M356,0)</f>
        <v>6.7381602428905838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241735</v>
      </c>
      <c r="M358" s="48">
        <f ca="1">M361+M364</f>
        <v>215735</v>
      </c>
      <c r="N358" s="48">
        <f ca="1">N361+N364</f>
        <v>14536.57</v>
      </c>
      <c r="O358" s="48">
        <f ca="1">IF(L358&gt;0,N358*100/L358,0)</f>
        <v>6.0134320640370653</v>
      </c>
      <c r="P358" s="48">
        <f ca="1">IF(M358&gt;0,N358*100/M358,0)</f>
        <v>6.7381602428905838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241735</v>
      </c>
      <c r="M359" s="48">
        <f ca="1">M360+M361</f>
        <v>215735</v>
      </c>
      <c r="N359" s="48">
        <f ca="1">N360+N361</f>
        <v>14536.57</v>
      </c>
      <c r="O359" s="48">
        <f ca="1">IF(L359&gt;0,N359*100/L359,0)</f>
        <v>6.0134320640370653</v>
      </c>
      <c r="P359" s="48">
        <f ca="1">IF(M359&gt;0,N359*100/M359,0)</f>
        <v>6.7381602428905838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IFERROR(__xludf.DUMMYFUNCTION("IMPORTRANGE(""https://docs.google.com/spreadsheets/d/1-uDff_7J0KD5mKrp0Vvzr7lt3OU09vwQwhkpOPPYv2Y/edit?usp=sharing"",""งบพรบ!FC82"")"),241735)</f>
        <v>241735</v>
      </c>
      <c r="M361" s="48">
        <f ca="1">IFERROR(__xludf.DUMMYFUNCTION("IMPORTRANGE(""https://docs.google.com/spreadsheets/d/1-uDff_7J0KD5mKrp0Vvzr7lt3OU09vwQwhkpOPPYv2Y/edit?usp=sharing"",""งบพรบ!FH82"")"),215735)</f>
        <v>215735</v>
      </c>
      <c r="N361" s="48">
        <f ca="1">IFERROR(__xludf.DUMMYFUNCTION("IMPORTRANGE(""https://docs.google.com/spreadsheets/d/1-uDff_7J0KD5mKrp0Vvzr7lt3OU09vwQwhkpOPPYv2Y/edit?usp=sharing"",""งบพรบ!FJ82"")"),14536.57)</f>
        <v>14536.57</v>
      </c>
      <c r="O361" s="48">
        <f ca="1">IF(L361&gt;0,N361*100/L361,0)</f>
        <v>6.0134320640370653</v>
      </c>
      <c r="P361" s="48">
        <f ca="1">IF(M361&gt;0,N361*100/M361,0)</f>
        <v>6.7381602428905838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IFERROR(__xludf.DUMMYFUNCTION("IMPORTRANGE(""https://docs.google.com/spreadsheets/d/1-uDff_7J0KD5mKrp0Vvzr7lt3OU09vwQwhkpOPPYv2Y/edit?usp=sharing"",""งบพรบ!FF82"")"),0)</f>
        <v>0</v>
      </c>
      <c r="M364" s="48">
        <f ca="1">IFERROR(__xludf.DUMMYFUNCTION("IMPORTRANGE(""https://docs.google.com/spreadsheets/d/1-uDff_7J0KD5mKrp0Vvzr7lt3OU09vwQwhkpOPPYv2Y/edit?usp=sharing"",""งบพรบ!FI82"")"),0)</f>
        <v>0</v>
      </c>
      <c r="N364" s="48">
        <f ca="1">IFERROR(__xludf.DUMMYFUNCTION("IMPORTRANGE(""https://docs.google.com/spreadsheets/d/1-uDff_7J0KD5mKrp0Vvzr7lt3OU09vwQwhkpOPPYv2Y/edit?usp=sharing"",""งบพรบ!FK82"")"),0)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148</v>
      </c>
      <c r="J365" s="240">
        <f ca="1">J371</f>
        <v>11</v>
      </c>
      <c r="K365" s="241">
        <f ca="1">IF(I365&gt;0,J365*100/I365,0)</f>
        <v>7.4324324324324325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IFERROR(__xludf.DUMMYFUNCTION("IMPORTRANGE(""https://docs.google.com/spreadsheets/d/1tdoBKaGub7dwA3U6UFTqxio9LNnvDCQjHKmttSEBsFQ/edit?usp=sharing"",""จัดที่ดิน!AB82"")"),4)</f>
        <v>4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IFERROR(__xludf.DUMMYFUNCTION("IMPORTRANGE(""https://docs.google.com/spreadsheets/d/1eHaY18a8A9IcSdp1K8H6x8fbOy06t2VsZHhMHf-1x7Y/edit?usp=sharing"",""แผน!EW82"")"),1150)</f>
        <v>1150</v>
      </c>
      <c r="J368" s="368">
        <f ca="1">IFERROR(__xludf.DUMMYFUNCTION("IMPORTRANGE(""https://docs.google.com/spreadsheets/d/1tdoBKaGub7dwA3U6UFTqxio9LNnvDCQjHKmttSEBsFQ/edit?usp=sharing"",""จัดที่ดิน!AC82"")"),16.62)</f>
        <v>16.62</v>
      </c>
      <c r="K368" s="48">
        <f ca="1">IF(I368&gt;0,J368*100/I368,0)</f>
        <v>1.4452173913043478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IFERROR(__xludf.DUMMYFUNCTION("IMPORTRANGE(""https://docs.google.com/spreadsheets/d/1eHaY18a8A9IcSdp1K8H6x8fbOy06t2VsZHhMHf-1x7Y/edit?usp=sharing"",""แผน!EX82"")"),220)</f>
        <v>220</v>
      </c>
      <c r="J369" s="170">
        <f ca="1">IFERROR(__xludf.DUMMYFUNCTION("IMPORTRANGE(""https://docs.google.com/spreadsheets/d/1tdoBKaGub7dwA3U6UFTqxio9LNnvDCQjHKmttSEBsFQ/edit?usp=sharing"",""จัดที่ดิน!AD82"")"),9)</f>
        <v>9</v>
      </c>
      <c r="K369" s="48">
        <f ca="1">IF(I369&gt;0,J369*100/I369,0)</f>
        <v>4.0909090909090908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IFERROR(__xludf.DUMMYFUNCTION("IMPORTRANGE(""https://docs.google.com/spreadsheets/d/1tdoBKaGub7dwA3U6UFTqxio9LNnvDCQjHKmttSEBsFQ/edit?usp=sharing"",""จัดที่ดิน!AE82"")"),66.86)</f>
        <v>66.86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IFERROR(__xludf.DUMMYFUNCTION("IMPORTRANGE(""https://docs.google.com/spreadsheets/d/1eHaY18a8A9IcSdp1K8H6x8fbOy06t2VsZHhMHf-1x7Y/edit?usp=sharing"",""แผน!EY82"")"),148)</f>
        <v>148</v>
      </c>
      <c r="J371" s="170">
        <f ca="1">IFERROR(__xludf.DUMMYFUNCTION("IMPORTRANGE(""https://docs.google.com/spreadsheets/d/1tdoBKaGub7dwA3U6UFTqxio9LNnvDCQjHKmttSEBsFQ/edit?usp=sharing"",""จัดที่ดิน!AF82"")"),11)</f>
        <v>11</v>
      </c>
      <c r="K371" s="48">
        <f ca="1">IF(I371&gt;0,J371*100/I371,0)</f>
        <v>7.4324324324324325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IFERROR(__xludf.DUMMYFUNCTION("IMPORTRANGE(""https://docs.google.com/spreadsheets/d/1tdoBKaGub7dwA3U6UFTqxio9LNnvDCQjHKmttSEBsFQ/edit?usp=sharing"",""จัดที่ดิน!AG82"")"),76.42)</f>
        <v>76.42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IFERROR(__xludf.DUMMYFUNCTION("IMPORTRANGE(""https://docs.google.com/spreadsheets/d/1-uDff_7J0KD5mKrp0Vvzr7lt3OU09vwQwhkpOPPYv2Y/edit?usp=sharing"",""งบพรบ!FM82"")"),0)</f>
        <v>0</v>
      </c>
      <c r="M382" s="51">
        <f ca="1">IFERROR(__xludf.DUMMYFUNCTION("IMPORTRANGE(""https://docs.google.com/spreadsheets/d/1-uDff_7J0KD5mKrp0Vvzr7lt3OU09vwQwhkpOPPYv2Y/edit?usp=sharing"",""งบพรบ!FR82"")"),0)</f>
        <v>0</v>
      </c>
      <c r="N382" s="51">
        <f ca="1">IFERROR(__xludf.DUMMYFUNCTION("IMPORTRANGE(""https://docs.google.com/spreadsheets/d/1-uDff_7J0KD5mKrp0Vvzr7lt3OU09vwQwhkpOPPYv2Y/edit?usp=sharing"",""งบพรบ!FT82"")"),0)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IFERROR(__xludf.DUMMYFUNCTION("IMPORTRANGE(""https://docs.google.com/spreadsheets/d/1-uDff_7J0KD5mKrp0Vvzr7lt3OU09vwQwhkpOPPYv2Y/edit?usp=sharing"",""งบพรบ!FP82"")"),0)</f>
        <v>0</v>
      </c>
      <c r="M385" s="51">
        <f ca="1">IFERROR(__xludf.DUMMYFUNCTION("IMPORTRANGE(""https://docs.google.com/spreadsheets/d/1-uDff_7J0KD5mKrp0Vvzr7lt3OU09vwQwhkpOPPYv2Y/edit?usp=sharing"",""งบพรบ!FS82"")"),0)</f>
        <v>0</v>
      </c>
      <c r="N385" s="51">
        <f ca="1">IFERROR(__xludf.DUMMYFUNCTION("IMPORTRANGE(""https://docs.google.com/spreadsheets/d/1-uDff_7J0KD5mKrp0Vvzr7lt3OU09vwQwhkpOPPYv2Y/edit?usp=sharing"",""งบพรบ!FU82"")"),0)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4" orientation="portrait" r:id="rId1"/>
  <headerFooter>
    <oddFooter>&amp;Cหน้า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08C2-7D8C-496E-8BBA-06CDEE2A4CB4}">
  <sheetPr>
    <outlinePr summaryBelow="0" summaryRight="0"/>
  </sheetPr>
  <dimension ref="A1:P391"/>
  <sheetViews>
    <sheetView view="pageBreakPreview" zoomScale="60" zoomScaleNormal="55" workbookViewId="0">
      <pane xSplit="8" ySplit="6" topLeftCell="I7" activePane="bottomRight" state="frozen"/>
      <selection activeCell="V62" sqref="V62"/>
      <selection pane="topRight" activeCell="V62" sqref="V62"/>
      <selection pane="bottomLeft" activeCell="V62" sqref="V62"/>
      <selection pane="bottomRight" activeCell="V62" sqref="V62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3.5703125" bestFit="1" customWidth="1"/>
    <col min="10" max="10" width="11.28515625" bestFit="1" customWidth="1"/>
    <col min="11" max="11" width="12.28515625" bestFit="1" customWidth="1"/>
    <col min="12" max="12" width="20.7109375" bestFit="1" customWidth="1"/>
    <col min="13" max="14" width="18" bestFit="1" customWidth="1"/>
    <col min="15" max="15" width="20.85546875" bestFit="1" customWidth="1"/>
    <col min="16" max="16" width="22.42578125" bestFit="1" customWidth="1"/>
  </cols>
  <sheetData>
    <row r="1" spans="1:16" ht="19.5" x14ac:dyDescent="0.3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9.5" x14ac:dyDescent="0.3">
      <c r="A2" s="440" t="s">
        <v>163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</row>
    <row r="3" spans="1:16" ht="19.5" x14ac:dyDescent="0.3">
      <c r="A3" s="440" t="s">
        <v>169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6" ht="12.75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16" ht="19.5" x14ac:dyDescent="0.3">
      <c r="A5" s="442" t="s">
        <v>2</v>
      </c>
      <c r="B5" s="441"/>
      <c r="C5" s="441"/>
      <c r="D5" s="441"/>
      <c r="E5" s="441"/>
      <c r="F5" s="441"/>
      <c r="G5" s="443"/>
      <c r="H5" s="4" t="s">
        <v>3</v>
      </c>
      <c r="I5" s="445" t="s">
        <v>4</v>
      </c>
      <c r="J5" s="433"/>
      <c r="K5" s="434"/>
      <c r="L5" s="446" t="s">
        <v>5</v>
      </c>
      <c r="M5" s="434"/>
      <c r="N5" s="447" t="s">
        <v>6</v>
      </c>
      <c r="O5" s="433"/>
      <c r="P5" s="434"/>
    </row>
    <row r="6" spans="1:16" ht="19.5" x14ac:dyDescent="0.3">
      <c r="A6" s="444"/>
      <c r="B6" s="433"/>
      <c r="C6" s="433"/>
      <c r="D6" s="433"/>
      <c r="E6" s="433"/>
      <c r="F6" s="433"/>
      <c r="G6" s="434"/>
      <c r="H6" s="5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11" t="s">
        <v>13</v>
      </c>
      <c r="P6" s="12" t="s">
        <v>14</v>
      </c>
    </row>
    <row r="7" spans="1:16" ht="12.75" hidden="1" x14ac:dyDescent="0.2">
      <c r="A7" s="432"/>
      <c r="B7" s="433"/>
      <c r="C7" s="433"/>
      <c r="D7" s="433"/>
      <c r="E7" s="433"/>
      <c r="F7" s="433"/>
      <c r="G7" s="434"/>
      <c r="H7" s="13"/>
      <c r="I7" s="14"/>
      <c r="J7" s="14"/>
      <c r="K7" s="15"/>
      <c r="L7" s="15"/>
      <c r="M7" s="15"/>
      <c r="N7" s="15"/>
      <c r="O7" s="15"/>
      <c r="P7" s="15"/>
    </row>
    <row r="8" spans="1:16" ht="12.75" hidden="1" x14ac:dyDescent="0.2">
      <c r="A8" s="16"/>
      <c r="B8" s="17"/>
      <c r="C8" s="17"/>
      <c r="D8" s="17"/>
      <c r="E8" s="17"/>
      <c r="F8" s="17"/>
      <c r="G8" s="18"/>
      <c r="H8" s="18"/>
      <c r="I8" s="19"/>
      <c r="J8" s="19"/>
      <c r="K8" s="20"/>
      <c r="L8" s="20"/>
      <c r="M8" s="20"/>
      <c r="N8" s="20"/>
      <c r="O8" s="20"/>
      <c r="P8" s="20"/>
    </row>
    <row r="9" spans="1:16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</row>
    <row r="10" spans="1:16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</row>
    <row r="11" spans="1:16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</row>
    <row r="12" spans="1:16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</row>
    <row r="13" spans="1:16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</row>
    <row r="14" spans="1:16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</row>
    <row r="15" spans="1:16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</row>
    <row r="16" spans="1:16" ht="12.75" hidden="1" x14ac:dyDescent="0.2">
      <c r="A16" s="21"/>
      <c r="B16" s="22"/>
      <c r="C16" s="22"/>
      <c r="D16" s="22"/>
      <c r="E16" s="22"/>
      <c r="F16" s="22"/>
      <c r="G16" s="13"/>
      <c r="H16" s="13"/>
      <c r="I16" s="14"/>
      <c r="J16" s="14"/>
      <c r="K16" s="15"/>
      <c r="L16" s="15"/>
      <c r="M16" s="15"/>
      <c r="N16" s="15"/>
      <c r="O16" s="15"/>
      <c r="P16" s="15"/>
    </row>
    <row r="17" spans="1:16" ht="19.5" x14ac:dyDescent="0.3">
      <c r="A17" s="435" t="s">
        <v>15</v>
      </c>
      <c r="B17" s="433"/>
      <c r="C17" s="433"/>
      <c r="D17" s="433"/>
      <c r="E17" s="433"/>
      <c r="F17" s="433"/>
      <c r="G17" s="434"/>
      <c r="H17" s="23"/>
      <c r="I17" s="24"/>
      <c r="J17" s="24"/>
      <c r="K17" s="25"/>
      <c r="L17" s="25"/>
      <c r="M17" s="25"/>
      <c r="N17" s="25"/>
      <c r="O17" s="25"/>
      <c r="P17" s="25"/>
    </row>
    <row r="18" spans="1:16" ht="19.5" x14ac:dyDescent="0.3">
      <c r="A18" s="26"/>
      <c r="B18" s="27"/>
      <c r="C18" s="133" t="s">
        <v>16</v>
      </c>
      <c r="D18" s="29" t="s">
        <v>17</v>
      </c>
      <c r="E18" s="27"/>
      <c r="F18" s="27"/>
      <c r="G18" s="30"/>
      <c r="H18" s="31" t="s">
        <v>12</v>
      </c>
      <c r="I18" s="32"/>
      <c r="J18" s="32"/>
      <c r="K18" s="33"/>
      <c r="L18" s="34">
        <f ca="1">L19+L20</f>
        <v>1064345</v>
      </c>
      <c r="M18" s="34">
        <f ca="1">M19+M20</f>
        <v>833945</v>
      </c>
      <c r="N18" s="34">
        <f ca="1">N19+N20</f>
        <v>188584.36</v>
      </c>
      <c r="O18" s="34">
        <f ca="1">IF(L18&gt;0,N18*100/L18,0)</f>
        <v>17.718348843655018</v>
      </c>
      <c r="P18" s="34">
        <f ca="1">IF(M18&gt;0,N18*100/M18,0)</f>
        <v>22.613524872743405</v>
      </c>
    </row>
    <row r="19" spans="1:16" ht="18.75" hidden="1" x14ac:dyDescent="0.25">
      <c r="A19" s="26"/>
      <c r="B19" s="27"/>
      <c r="C19" s="27"/>
      <c r="D19" s="27"/>
      <c r="E19" s="35" t="s">
        <v>18</v>
      </c>
      <c r="F19" s="27"/>
      <c r="G19" s="30"/>
      <c r="H19" s="36" t="s">
        <v>12</v>
      </c>
      <c r="I19" s="32"/>
      <c r="J19" s="32"/>
      <c r="K19" s="33"/>
      <c r="L19" s="37">
        <f>L22+L25</f>
        <v>0</v>
      </c>
      <c r="M19" s="37">
        <f>M22+M25</f>
        <v>0</v>
      </c>
      <c r="N19" s="37">
        <f>N22+N25</f>
        <v>0</v>
      </c>
      <c r="O19" s="37">
        <f>IF(L19&gt;0,N19*100/L19,0)</f>
        <v>0</v>
      </c>
      <c r="P19" s="37">
        <f>IF(M19&gt;0,N19*100/M19,0)</f>
        <v>0</v>
      </c>
    </row>
    <row r="20" spans="1:16" ht="18.75" x14ac:dyDescent="0.25">
      <c r="A20" s="26"/>
      <c r="B20" s="27"/>
      <c r="C20" s="27"/>
      <c r="D20" s="27"/>
      <c r="E20" s="38" t="s">
        <v>19</v>
      </c>
      <c r="F20" s="27"/>
      <c r="G20" s="30"/>
      <c r="H20" s="39" t="s">
        <v>12</v>
      </c>
      <c r="I20" s="32"/>
      <c r="J20" s="32"/>
      <c r="K20" s="33"/>
      <c r="L20" s="40">
        <f ca="1">L23+L26</f>
        <v>1064345</v>
      </c>
      <c r="M20" s="40">
        <f ca="1">M23+M26</f>
        <v>833945</v>
      </c>
      <c r="N20" s="40">
        <f ca="1">N23+N26</f>
        <v>188584.36</v>
      </c>
      <c r="O20" s="40">
        <f ca="1">IF(L20&gt;0,N20*100/L20,0)</f>
        <v>17.718348843655018</v>
      </c>
      <c r="P20" s="40">
        <f ca="1">IF(M20&gt;0,N20*100/M20,0)</f>
        <v>22.613524872743405</v>
      </c>
    </row>
    <row r="21" spans="1:16" ht="18.75" x14ac:dyDescent="0.25">
      <c r="A21" s="41"/>
      <c r="B21" s="42"/>
      <c r="C21" s="42"/>
      <c r="D21" s="43" t="s">
        <v>20</v>
      </c>
      <c r="E21" s="42"/>
      <c r="F21" s="42"/>
      <c r="G21" s="44"/>
      <c r="H21" s="45" t="s">
        <v>12</v>
      </c>
      <c r="I21" s="46"/>
      <c r="J21" s="46"/>
      <c r="K21" s="47"/>
      <c r="L21" s="48">
        <f ca="1">L22+L23</f>
        <v>1064345</v>
      </c>
      <c r="M21" s="48">
        <f ca="1">M22+M23</f>
        <v>833945</v>
      </c>
      <c r="N21" s="48">
        <f ca="1">N22+N23</f>
        <v>188584.36</v>
      </c>
      <c r="O21" s="48">
        <f ca="1">IF(L21&gt;0,N21*100/L21,0)</f>
        <v>17.718348843655018</v>
      </c>
      <c r="P21" s="48">
        <f ca="1">IF(M21&gt;0,N21*100/M21,0)</f>
        <v>22.613524872743405</v>
      </c>
    </row>
    <row r="22" spans="1:16" ht="18.75" hidden="1" x14ac:dyDescent="0.25">
      <c r="A22" s="41"/>
      <c r="B22" s="42"/>
      <c r="C22" s="42"/>
      <c r="D22" s="42"/>
      <c r="E22" s="296" t="s">
        <v>18</v>
      </c>
      <c r="F22" s="42"/>
      <c r="G22" s="44"/>
      <c r="H22" s="50" t="s">
        <v>12</v>
      </c>
      <c r="I22" s="46"/>
      <c r="J22" s="46"/>
      <c r="K22" s="47"/>
      <c r="L22" s="51">
        <f>L48+L63+L76+L98+L129+L143+L161+L190+L177+L270+L286+L307+L324+L337+L360+L381</f>
        <v>0</v>
      </c>
      <c r="M22" s="51">
        <f>M48+M63+M76+M98+M129+M143+M161+M190+M177+M270+M286+M307+M324+M337+M360+M381</f>
        <v>0</v>
      </c>
      <c r="N22" s="51">
        <f>N48+N63+N76+N98+N129+N143+N161+N190+N177+N270+N286+N307+N324+N337+N360+N381</f>
        <v>0</v>
      </c>
      <c r="O22" s="51">
        <f>IF(L22&gt;0,N22*100/L22,0)</f>
        <v>0</v>
      </c>
      <c r="P22" s="51">
        <f>IF(M22&gt;0,N22*100/M22,0)</f>
        <v>0</v>
      </c>
    </row>
    <row r="23" spans="1:16" ht="18.75" x14ac:dyDescent="0.25">
      <c r="A23" s="41"/>
      <c r="B23" s="42"/>
      <c r="C23" s="42"/>
      <c r="D23" s="42"/>
      <c r="E23" s="52" t="s">
        <v>19</v>
      </c>
      <c r="F23" s="42"/>
      <c r="G23" s="44"/>
      <c r="H23" s="45" t="s">
        <v>12</v>
      </c>
      <c r="I23" s="46"/>
      <c r="J23" s="46"/>
      <c r="K23" s="47"/>
      <c r="L23" s="48">
        <f ca="1">L49+L64+L77+L99+L130+L144+L162+L191+L178+L271+L287+L308+L325+L338+L361+L382</f>
        <v>1064345</v>
      </c>
      <c r="M23" s="48">
        <f ca="1">M49+M64+M77+M99+M130+M144+M162+M191+M178+M271+M287+M308+M325+M338+M361+M382</f>
        <v>833945</v>
      </c>
      <c r="N23" s="48">
        <f ca="1">N49+N64+N77+N99+N130+N144+N162+N191+N178+N271+N287+N308+N325+N338+N361+N382</f>
        <v>188584.36</v>
      </c>
      <c r="O23" s="48">
        <f ca="1">IF(L23&gt;0,N23*100/L23,0)</f>
        <v>17.718348843655018</v>
      </c>
      <c r="P23" s="48">
        <f ca="1">IF(M23&gt;0,N23*100/M23,0)</f>
        <v>22.613524872743405</v>
      </c>
    </row>
    <row r="24" spans="1:16" ht="18.75" x14ac:dyDescent="0.25">
      <c r="A24" s="41"/>
      <c r="B24" s="42"/>
      <c r="C24" s="42"/>
      <c r="D24" s="43" t="s">
        <v>21</v>
      </c>
      <c r="E24" s="42"/>
      <c r="F24" s="42"/>
      <c r="G24" s="44"/>
      <c r="H24" s="45" t="s">
        <v>12</v>
      </c>
      <c r="I24" s="46"/>
      <c r="J24" s="46"/>
      <c r="K24" s="47"/>
      <c r="L24" s="48">
        <f ca="1">L25+L26</f>
        <v>0</v>
      </c>
      <c r="M24" s="48">
        <f ca="1">M25+M26</f>
        <v>0</v>
      </c>
      <c r="N24" s="48">
        <f ca="1">N25+N26</f>
        <v>0</v>
      </c>
      <c r="O24" s="48">
        <f ca="1">IF(L24&gt;0,N24*100/L24,0)</f>
        <v>0</v>
      </c>
      <c r="P24" s="48">
        <f ca="1">IF(M24&gt;0,N24*100/M24,0)</f>
        <v>0</v>
      </c>
    </row>
    <row r="25" spans="1:16" ht="18.75" hidden="1" x14ac:dyDescent="0.25">
      <c r="A25" s="41"/>
      <c r="B25" s="42"/>
      <c r="C25" s="42"/>
      <c r="D25" s="42"/>
      <c r="E25" s="296" t="s">
        <v>18</v>
      </c>
      <c r="F25" s="42"/>
      <c r="G25" s="44"/>
      <c r="H25" s="50" t="s">
        <v>12</v>
      </c>
      <c r="I25" s="46"/>
      <c r="J25" s="46"/>
      <c r="K25" s="47"/>
      <c r="L25" s="51">
        <f>L51+L66+L79+L101+L132+L146+L164+L193+L180+L273+L289+L310+L327+L340+L363+L384</f>
        <v>0</v>
      </c>
      <c r="M25" s="51">
        <f>M51+M66+M79+M101+M132+M146+M164+M193+M180+M273+M289+M310+M327+M340+M363+M384</f>
        <v>0</v>
      </c>
      <c r="N25" s="51">
        <f>N51+N66+N79+N101+N132+N146+N164+N193+N180+N273+N289+N310+N327+N340+N363+N384</f>
        <v>0</v>
      </c>
      <c r="O25" s="51">
        <f>IF(L25&gt;0,N25*100/L25,0)</f>
        <v>0</v>
      </c>
      <c r="P25" s="51">
        <f>IF(M25&gt;0,N25*100/M25,0)</f>
        <v>0</v>
      </c>
    </row>
    <row r="26" spans="1:16" ht="18.75" x14ac:dyDescent="0.25">
      <c r="A26" s="41"/>
      <c r="B26" s="42"/>
      <c r="C26" s="42"/>
      <c r="D26" s="42"/>
      <c r="E26" s="52" t="s">
        <v>19</v>
      </c>
      <c r="F26" s="42"/>
      <c r="G26" s="44"/>
      <c r="H26" s="45" t="s">
        <v>12</v>
      </c>
      <c r="I26" s="46"/>
      <c r="J26" s="46"/>
      <c r="K26" s="47"/>
      <c r="L26" s="48">
        <f ca="1">L52+L67+L80+L102+L133+L147+L165+L194+L181+L274+L290+L311+L328+L341+L364+L385</f>
        <v>0</v>
      </c>
      <c r="M26" s="48">
        <f ca="1">M52+M67+M80+M102+M133+M147+M165+M194+M181+M274+M290+M311+M328+M341+M364+M385</f>
        <v>0</v>
      </c>
      <c r="N26" s="48">
        <f ca="1">N52+N67+N80+N102+N133+N147+N165+N194+N181+N274+N290+N311+N328+N341+N364+N385</f>
        <v>0</v>
      </c>
      <c r="O26" s="48">
        <f ca="1">IF(L26&gt;0,N26*100/L26,0)</f>
        <v>0</v>
      </c>
      <c r="P26" s="48">
        <f ca="1">IF(M26&gt;0,N26*100/M26,0)</f>
        <v>0</v>
      </c>
    </row>
    <row r="27" spans="1:16" ht="18.75" hidden="1" x14ac:dyDescent="0.25">
      <c r="A27" s="41"/>
      <c r="B27" s="42"/>
      <c r="C27" s="42"/>
      <c r="D27" s="43" t="s">
        <v>22</v>
      </c>
      <c r="E27" s="42"/>
      <c r="F27" s="42"/>
      <c r="G27" s="44"/>
      <c r="H27" s="45" t="s">
        <v>12</v>
      </c>
      <c r="I27" s="46"/>
      <c r="J27" s="46"/>
      <c r="K27" s="47"/>
      <c r="L27" s="48"/>
      <c r="M27" s="48"/>
      <c r="N27" s="48"/>
      <c r="O27" s="48"/>
      <c r="P27" s="48"/>
    </row>
    <row r="28" spans="1:16" ht="18.75" hidden="1" x14ac:dyDescent="0.25">
      <c r="A28" s="41"/>
      <c r="B28" s="42"/>
      <c r="C28" s="42"/>
      <c r="D28" s="42"/>
      <c r="E28" s="296" t="s">
        <v>18</v>
      </c>
      <c r="F28" s="42"/>
      <c r="G28" s="44"/>
      <c r="H28" s="50" t="s">
        <v>12</v>
      </c>
      <c r="I28" s="46"/>
      <c r="J28" s="46"/>
      <c r="K28" s="47"/>
      <c r="L28" s="51"/>
      <c r="M28" s="51"/>
      <c r="N28" s="51"/>
      <c r="O28" s="51"/>
      <c r="P28" s="51"/>
    </row>
    <row r="29" spans="1:16" ht="18.75" hidden="1" x14ac:dyDescent="0.25">
      <c r="A29" s="53"/>
      <c r="B29" s="1"/>
      <c r="C29" s="1"/>
      <c r="D29" s="1"/>
      <c r="E29" s="54" t="s">
        <v>19</v>
      </c>
      <c r="F29" s="1"/>
      <c r="G29" s="55"/>
      <c r="H29" s="56" t="s">
        <v>12</v>
      </c>
      <c r="I29" s="57"/>
      <c r="J29" s="57"/>
      <c r="K29" s="58"/>
      <c r="L29" s="59"/>
      <c r="M29" s="59"/>
      <c r="N29" s="59"/>
      <c r="O29" s="59"/>
      <c r="P29" s="59"/>
    </row>
    <row r="30" spans="1:16" ht="12.75" hidden="1" x14ac:dyDescent="0.2">
      <c r="A30" s="432"/>
      <c r="B30" s="433"/>
      <c r="C30" s="433"/>
      <c r="D30" s="433"/>
      <c r="E30" s="433"/>
      <c r="F30" s="433"/>
      <c r="G30" s="434"/>
      <c r="H30" s="13"/>
      <c r="I30" s="14"/>
      <c r="J30" s="14"/>
      <c r="K30" s="15"/>
      <c r="L30" s="15"/>
      <c r="M30" s="15"/>
      <c r="N30" s="15"/>
      <c r="O30" s="15"/>
      <c r="P30" s="15"/>
    </row>
    <row r="31" spans="1:16" ht="12.75" hidden="1" x14ac:dyDescent="0.2">
      <c r="A31" s="16"/>
      <c r="B31" s="17"/>
      <c r="C31" s="17"/>
      <c r="D31" s="17"/>
      <c r="E31" s="17"/>
      <c r="F31" s="17"/>
      <c r="G31" s="18"/>
      <c r="H31" s="18"/>
      <c r="I31" s="19"/>
      <c r="J31" s="19"/>
      <c r="K31" s="20"/>
      <c r="L31" s="20"/>
      <c r="M31" s="20"/>
      <c r="N31" s="20"/>
      <c r="O31" s="20"/>
      <c r="P31" s="20"/>
    </row>
    <row r="32" spans="1:16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</row>
    <row r="33" spans="1:16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</row>
    <row r="34" spans="1:16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</row>
    <row r="35" spans="1:16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</row>
    <row r="36" spans="1:16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</row>
    <row r="37" spans="1:16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</row>
    <row r="38" spans="1:16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</row>
    <row r="39" spans="1:16" ht="12.75" hidden="1" x14ac:dyDescent="0.2">
      <c r="A39" s="21"/>
      <c r="B39" s="22"/>
      <c r="C39" s="22"/>
      <c r="D39" s="22"/>
      <c r="E39" s="22"/>
      <c r="F39" s="22"/>
      <c r="G39" s="13"/>
      <c r="H39" s="13"/>
      <c r="I39" s="14"/>
      <c r="J39" s="14"/>
      <c r="K39" s="15"/>
      <c r="L39" s="15"/>
      <c r="M39" s="15"/>
      <c r="N39" s="15"/>
      <c r="O39" s="15"/>
      <c r="P39" s="15"/>
    </row>
    <row r="40" spans="1:16" ht="19.5" hidden="1" x14ac:dyDescent="0.3">
      <c r="A40" s="60" t="s">
        <v>23</v>
      </c>
      <c r="B40" s="61"/>
      <c r="C40" s="61"/>
      <c r="D40" s="61"/>
      <c r="E40" s="61"/>
      <c r="F40" s="61"/>
      <c r="G40" s="62"/>
      <c r="H40" s="62"/>
      <c r="I40" s="63"/>
      <c r="J40" s="63"/>
      <c r="K40" s="64"/>
      <c r="L40" s="65">
        <f ca="1">L44+L59+L72+L94+L125+L139+L157+L173+L186+L266+L282+L303+L320+L333+L356</f>
        <v>1064345</v>
      </c>
      <c r="M40" s="65">
        <f ca="1">M44+M59+M72+M94+M125+M139+M157+M173+M186+M266+M282+M303+M320+M333+M356</f>
        <v>833945</v>
      </c>
      <c r="N40" s="65">
        <f ca="1">N44+N59+N72+N94+N125+N139+N157+N173+N186+N266+N282+N303+N320+N333+N356</f>
        <v>188584.36</v>
      </c>
      <c r="O40" s="65">
        <f ca="1">IF(L40&gt;0,N40*100/L40,0)</f>
        <v>17.718348843655018</v>
      </c>
      <c r="P40" s="65">
        <f ca="1">IF(M40&gt;0,N40*100/M40,0)</f>
        <v>22.613524872743405</v>
      </c>
    </row>
    <row r="41" spans="1:16" ht="19.5" x14ac:dyDescent="0.3">
      <c r="A41" s="66" t="s">
        <v>24</v>
      </c>
      <c r="B41" s="67"/>
      <c r="C41" s="67"/>
      <c r="D41" s="67"/>
      <c r="E41" s="67"/>
      <c r="F41" s="67"/>
      <c r="G41" s="67"/>
      <c r="H41" s="67"/>
      <c r="I41" s="68"/>
      <c r="J41" s="68"/>
      <c r="K41" s="69"/>
      <c r="L41" s="69"/>
      <c r="M41" s="69"/>
      <c r="N41" s="69"/>
      <c r="O41" s="69"/>
      <c r="P41" s="70"/>
    </row>
    <row r="42" spans="1:16" ht="19.5" x14ac:dyDescent="0.3">
      <c r="A42" s="71"/>
      <c r="B42" s="72" t="s">
        <v>25</v>
      </c>
      <c r="C42" s="71"/>
      <c r="D42" s="71"/>
      <c r="E42" s="71"/>
      <c r="F42" s="71"/>
      <c r="G42" s="73"/>
      <c r="H42" s="73"/>
      <c r="I42" s="74"/>
      <c r="J42" s="74"/>
      <c r="K42" s="75"/>
      <c r="L42" s="75"/>
      <c r="M42" s="75"/>
      <c r="N42" s="75"/>
      <c r="O42" s="75"/>
      <c r="P42" s="75"/>
    </row>
    <row r="43" spans="1:16" ht="12.75" hidden="1" x14ac:dyDescent="0.2">
      <c r="A43" s="16"/>
      <c r="B43" s="17"/>
      <c r="C43" s="17"/>
      <c r="D43" s="17"/>
      <c r="E43" s="17"/>
      <c r="F43" s="17"/>
      <c r="G43" s="18"/>
      <c r="H43" s="18"/>
      <c r="I43" s="19"/>
      <c r="J43" s="19"/>
      <c r="K43" s="20"/>
      <c r="L43" s="20"/>
      <c r="M43" s="20"/>
      <c r="N43" s="20"/>
      <c r="O43" s="20"/>
      <c r="P43" s="20"/>
    </row>
    <row r="44" spans="1:16" ht="19.5" x14ac:dyDescent="0.3">
      <c r="A44" s="76"/>
      <c r="B44" s="77"/>
      <c r="C44" s="78" t="s">
        <v>16</v>
      </c>
      <c r="D44" s="482" t="s">
        <v>17</v>
      </c>
      <c r="E44" s="77"/>
      <c r="F44" s="77"/>
      <c r="G44" s="80"/>
      <c r="H44" s="81" t="s">
        <v>12</v>
      </c>
      <c r="I44" s="82"/>
      <c r="J44" s="82"/>
      <c r="K44" s="83"/>
      <c r="L44" s="84">
        <f ca="1">L45+L46</f>
        <v>129800</v>
      </c>
      <c r="M44" s="84">
        <f ca="1">M45+M46</f>
        <v>129800</v>
      </c>
      <c r="N44" s="84">
        <f ca="1">N45+N46</f>
        <v>14500</v>
      </c>
      <c r="O44" s="84">
        <f ca="1">IF(L44&gt;0,N44*100/L44,0)</f>
        <v>11.171032357473035</v>
      </c>
      <c r="P44" s="84">
        <f ca="1">IF(M44&gt;0,N44*100/M44,0)</f>
        <v>11.171032357473035</v>
      </c>
    </row>
    <row r="45" spans="1:16" ht="18.75" hidden="1" x14ac:dyDescent="0.25">
      <c r="A45" s="76"/>
      <c r="B45" s="77"/>
      <c r="C45" s="77"/>
      <c r="D45" s="77"/>
      <c r="E45" s="85" t="s">
        <v>18</v>
      </c>
      <c r="F45" s="77"/>
      <c r="G45" s="80"/>
      <c r="H45" s="86" t="s">
        <v>12</v>
      </c>
      <c r="I45" s="82"/>
      <c r="J45" s="82"/>
      <c r="K45" s="83"/>
      <c r="L45" s="87">
        <f>L48+L51</f>
        <v>0</v>
      </c>
      <c r="M45" s="87">
        <f>M48+M51</f>
        <v>0</v>
      </c>
      <c r="N45" s="87">
        <f>N48+N51</f>
        <v>0</v>
      </c>
      <c r="O45" s="87">
        <f>IF(L45&gt;0,N45*100/L45,0)</f>
        <v>0</v>
      </c>
      <c r="P45" s="87">
        <f>IF(M45&gt;0,N45*100/M45,0)</f>
        <v>0</v>
      </c>
    </row>
    <row r="46" spans="1:16" ht="18.75" x14ac:dyDescent="0.25">
      <c r="A46" s="76"/>
      <c r="B46" s="77"/>
      <c r="C46" s="77"/>
      <c r="D46" s="77"/>
      <c r="E46" s="88" t="s">
        <v>19</v>
      </c>
      <c r="F46" s="77"/>
      <c r="G46" s="80"/>
      <c r="H46" s="89" t="s">
        <v>12</v>
      </c>
      <c r="I46" s="82"/>
      <c r="J46" s="82"/>
      <c r="K46" s="83"/>
      <c r="L46" s="90">
        <f ca="1">L49+L52</f>
        <v>129800</v>
      </c>
      <c r="M46" s="90">
        <f ca="1">M49+M52</f>
        <v>129800</v>
      </c>
      <c r="N46" s="90">
        <f ca="1">N49+N52</f>
        <v>14500</v>
      </c>
      <c r="O46" s="90">
        <f ca="1">IF(L46&gt;0,N46*100/L46,0)</f>
        <v>11.171032357473035</v>
      </c>
      <c r="P46" s="90">
        <f ca="1">IF(M46&gt;0,N46*100/M46,0)</f>
        <v>11.171032357473035</v>
      </c>
    </row>
    <row r="47" spans="1:16" ht="18.75" x14ac:dyDescent="0.25">
      <c r="A47" s="41"/>
      <c r="B47" s="42"/>
      <c r="C47" s="42"/>
      <c r="D47" s="43" t="s">
        <v>20</v>
      </c>
      <c r="E47" s="42"/>
      <c r="F47" s="42"/>
      <c r="G47" s="44"/>
      <c r="H47" s="45" t="s">
        <v>12</v>
      </c>
      <c r="I47" s="46"/>
      <c r="J47" s="46"/>
      <c r="K47" s="47"/>
      <c r="L47" s="48">
        <f ca="1">L48+L49</f>
        <v>129800</v>
      </c>
      <c r="M47" s="48">
        <f ca="1">M48+M49</f>
        <v>129800</v>
      </c>
      <c r="N47" s="48">
        <f ca="1">N48+N49</f>
        <v>14500</v>
      </c>
      <c r="O47" s="48">
        <f ca="1">IF(L47&gt;0,N47*100/L47,0)</f>
        <v>11.171032357473035</v>
      </c>
      <c r="P47" s="48">
        <f ca="1">IF(M47&gt;0,N47*100/M47,0)</f>
        <v>11.171032357473035</v>
      </c>
    </row>
    <row r="48" spans="1:16" ht="18.75" hidden="1" x14ac:dyDescent="0.25">
      <c r="A48" s="41"/>
      <c r="B48" s="42"/>
      <c r="C48" s="42"/>
      <c r="D48" s="42"/>
      <c r="E48" s="296" t="s">
        <v>18</v>
      </c>
      <c r="F48" s="42"/>
      <c r="G48" s="44"/>
      <c r="H48" s="50" t="s">
        <v>12</v>
      </c>
      <c r="I48" s="46"/>
      <c r="J48" s="46"/>
      <c r="K48" s="47"/>
      <c r="L48" s="51">
        <v>0</v>
      </c>
      <c r="M48" s="51">
        <v>0</v>
      </c>
      <c r="N48" s="51">
        <v>0</v>
      </c>
      <c r="O48" s="51">
        <f>IF(L48&gt;0,N48*100/L48,0)</f>
        <v>0</v>
      </c>
      <c r="P48" s="51">
        <f>IF(M48&gt;0,N48*100/M48,0)</f>
        <v>0</v>
      </c>
    </row>
    <row r="49" spans="1:16" ht="18.75" x14ac:dyDescent="0.25">
      <c r="A49" s="41"/>
      <c r="B49" s="42"/>
      <c r="C49" s="42"/>
      <c r="D49" s="42"/>
      <c r="E49" s="52" t="s">
        <v>19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IFERROR(__xludf.DUMMYFUNCTION("IMPORTRANGE(""https://docs.google.com/spreadsheets/d/1-uDff_7J0KD5mKrp0Vvzr7lt3OU09vwQwhkpOPPYv2Y/edit?usp=sharing"",""งบพรบ!P83"")"),129800)</f>
        <v>129800</v>
      </c>
      <c r="M49" s="48">
        <f ca="1">IFERROR(__xludf.DUMMYFUNCTION("IMPORTRANGE(""https://docs.google.com/spreadsheets/d/1-uDff_7J0KD5mKrp0Vvzr7lt3OU09vwQwhkpOPPYv2Y/edit?usp=sharing"",""งบพรบ!V83"")"),129800)</f>
        <v>129800</v>
      </c>
      <c r="N49" s="48">
        <f ca="1">IFERROR(__xludf.DUMMYFUNCTION("IMPORTRANGE(""https://docs.google.com/spreadsheets/d/1-uDff_7J0KD5mKrp0Vvzr7lt3OU09vwQwhkpOPPYv2Y/edit?usp=sharing"",""งบพรบ!Y83"")"),14500)</f>
        <v>14500</v>
      </c>
      <c r="O49" s="48">
        <f ca="1">IF(L49&gt;0,N49*100/L49,0)</f>
        <v>11.171032357473035</v>
      </c>
      <c r="P49" s="48">
        <f ca="1">IF(M49&gt;0,N49*100/M49,0)</f>
        <v>11.171032357473035</v>
      </c>
    </row>
    <row r="50" spans="1:16" ht="18.75" x14ac:dyDescent="0.25">
      <c r="A50" s="41"/>
      <c r="B50" s="42"/>
      <c r="C50" s="42"/>
      <c r="D50" s="43" t="s">
        <v>21</v>
      </c>
      <c r="E50" s="42"/>
      <c r="F50" s="42"/>
      <c r="G50" s="44"/>
      <c r="H50" s="45" t="s">
        <v>12</v>
      </c>
      <c r="I50" s="46"/>
      <c r="J50" s="46"/>
      <c r="K50" s="47"/>
      <c r="L50" s="48">
        <f ca="1">L51+L52</f>
        <v>0</v>
      </c>
      <c r="M50" s="48">
        <f ca="1">M51+M52</f>
        <v>0</v>
      </c>
      <c r="N50" s="48">
        <f ca="1">N51+N52</f>
        <v>0</v>
      </c>
      <c r="O50" s="48">
        <f ca="1">IF(L50&gt;0,N50*100/L50,0)</f>
        <v>0</v>
      </c>
      <c r="P50" s="48">
        <f ca="1">IF(M50&gt;0,N50*100/M50,0)</f>
        <v>0</v>
      </c>
    </row>
    <row r="51" spans="1:16" ht="18.75" hidden="1" x14ac:dyDescent="0.25">
      <c r="A51" s="41"/>
      <c r="B51" s="42"/>
      <c r="C51" s="42"/>
      <c r="D51" s="42"/>
      <c r="E51" s="296" t="s">
        <v>18</v>
      </c>
      <c r="F51" s="42"/>
      <c r="G51" s="44"/>
      <c r="H51" s="50" t="s">
        <v>12</v>
      </c>
      <c r="I51" s="46"/>
      <c r="J51" s="46"/>
      <c r="K51" s="47"/>
      <c r="L51" s="51">
        <v>0</v>
      </c>
      <c r="M51" s="51">
        <v>0</v>
      </c>
      <c r="N51" s="51">
        <v>0</v>
      </c>
      <c r="O51" s="51">
        <f>IF(L51&gt;0,N51*100/L51,0)</f>
        <v>0</v>
      </c>
      <c r="P51" s="51">
        <f>IF(M51&gt;0,N51*100/M51,0)</f>
        <v>0</v>
      </c>
    </row>
    <row r="52" spans="1:16" ht="18.75" x14ac:dyDescent="0.25">
      <c r="A52" s="41"/>
      <c r="B52" s="42"/>
      <c r="C52" s="42"/>
      <c r="D52" s="42"/>
      <c r="E52" s="52" t="s">
        <v>19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IFERROR(__xludf.DUMMYFUNCTION("IMPORTRANGE(""https://docs.google.com/spreadsheets/d/1-uDff_7J0KD5mKrp0Vvzr7lt3OU09vwQwhkpOPPYv2Y/edit?usp=sharing"",""งบพรบ!S83"")"),0)</f>
        <v>0</v>
      </c>
      <c r="M52" s="48">
        <f ca="1">IFERROR(__xludf.DUMMYFUNCTION("IMPORTRANGE(""https://docs.google.com/spreadsheets/d/1-uDff_7J0KD5mKrp0Vvzr7lt3OU09vwQwhkpOPPYv2Y/edit?usp=sharing"",""งบพรบ!W83"")"),0)</f>
        <v>0</v>
      </c>
      <c r="N52" s="48">
        <f ca="1">IFERROR(__xludf.DUMMYFUNCTION("IMPORTRANGE(""https://docs.google.com/spreadsheets/d/1-uDff_7J0KD5mKrp0Vvzr7lt3OU09vwQwhkpOPPYv2Y/edit?usp=sharing"",""งบพรบ!Z83"")"),0)</f>
        <v>0</v>
      </c>
      <c r="O52" s="48">
        <f ca="1">IF(L52&gt;0,N52*100/L52,0)</f>
        <v>0</v>
      </c>
      <c r="P52" s="48">
        <f ca="1">IF(M52&gt;0,N52*100/M52,0)</f>
        <v>0</v>
      </c>
    </row>
    <row r="53" spans="1:16" ht="18.75" hidden="1" x14ac:dyDescent="0.25">
      <c r="A53" s="41"/>
      <c r="B53" s="42"/>
      <c r="C53" s="42"/>
      <c r="D53" s="43" t="s">
        <v>22</v>
      </c>
      <c r="E53" s="42"/>
      <c r="F53" s="42"/>
      <c r="G53" s="44"/>
      <c r="H53" s="45" t="s">
        <v>12</v>
      </c>
      <c r="I53" s="46"/>
      <c r="J53" s="46"/>
      <c r="K53" s="47"/>
      <c r="L53" s="48"/>
      <c r="M53" s="48"/>
      <c r="N53" s="48"/>
      <c r="O53" s="48"/>
      <c r="P53" s="48"/>
    </row>
    <row r="54" spans="1:16" ht="18.75" hidden="1" x14ac:dyDescent="0.25">
      <c r="A54" s="41"/>
      <c r="B54" s="42"/>
      <c r="C54" s="42"/>
      <c r="D54" s="42"/>
      <c r="E54" s="296" t="s">
        <v>18</v>
      </c>
      <c r="F54" s="42"/>
      <c r="G54" s="44"/>
      <c r="H54" s="50" t="s">
        <v>12</v>
      </c>
      <c r="I54" s="46"/>
      <c r="J54" s="46"/>
      <c r="K54" s="47"/>
      <c r="L54" s="51"/>
      <c r="M54" s="51"/>
      <c r="N54" s="51"/>
      <c r="O54" s="51"/>
      <c r="P54" s="51"/>
    </row>
    <row r="55" spans="1:16" ht="18.75" hidden="1" x14ac:dyDescent="0.25">
      <c r="A55" s="53"/>
      <c r="B55" s="1"/>
      <c r="C55" s="1"/>
      <c r="D55" s="1"/>
      <c r="E55" s="54" t="s">
        <v>19</v>
      </c>
      <c r="F55" s="1"/>
      <c r="G55" s="55"/>
      <c r="H55" s="56" t="s">
        <v>12</v>
      </c>
      <c r="I55" s="57"/>
      <c r="J55" s="57"/>
      <c r="K55" s="58"/>
      <c r="L55" s="59"/>
      <c r="M55" s="59"/>
      <c r="N55" s="59"/>
      <c r="O55" s="59"/>
      <c r="P55" s="59"/>
    </row>
    <row r="56" spans="1:16" ht="19.5" x14ac:dyDescent="0.3">
      <c r="A56" s="436" t="s">
        <v>26</v>
      </c>
      <c r="B56" s="433"/>
      <c r="C56" s="433"/>
      <c r="D56" s="433"/>
      <c r="E56" s="433"/>
      <c r="F56" s="433"/>
      <c r="G56" s="434"/>
      <c r="H56" s="91"/>
      <c r="I56" s="92"/>
      <c r="J56" s="92"/>
      <c r="K56" s="93"/>
      <c r="L56" s="93"/>
      <c r="M56" s="93"/>
      <c r="N56" s="93"/>
      <c r="O56" s="93"/>
      <c r="P56" s="94"/>
    </row>
    <row r="57" spans="1:16" ht="19.5" x14ac:dyDescent="0.3">
      <c r="A57" s="95"/>
      <c r="B57" s="437" t="s">
        <v>27</v>
      </c>
      <c r="C57" s="438"/>
      <c r="D57" s="438"/>
      <c r="E57" s="438"/>
      <c r="F57" s="438"/>
      <c r="G57" s="439"/>
      <c r="H57" s="96"/>
      <c r="I57" s="97"/>
      <c r="J57" s="97"/>
      <c r="K57" s="98"/>
      <c r="L57" s="98"/>
      <c r="M57" s="98"/>
      <c r="N57" s="98"/>
      <c r="O57" s="98"/>
      <c r="P57" s="98"/>
    </row>
    <row r="58" spans="1:16" ht="19.5" x14ac:dyDescent="0.3">
      <c r="A58" s="99"/>
      <c r="B58" s="100" t="s">
        <v>28</v>
      </c>
      <c r="C58" s="101"/>
      <c r="D58" s="101"/>
      <c r="E58" s="101"/>
      <c r="F58" s="101"/>
      <c r="G58" s="102"/>
      <c r="H58" s="102"/>
      <c r="I58" s="103"/>
      <c r="J58" s="103"/>
      <c r="K58" s="104"/>
      <c r="L58" s="104"/>
      <c r="M58" s="104"/>
      <c r="N58" s="104"/>
      <c r="O58" s="104"/>
      <c r="P58" s="104"/>
    </row>
    <row r="59" spans="1:16" ht="19.5" x14ac:dyDescent="0.3">
      <c r="A59" s="105"/>
      <c r="B59" s="106"/>
      <c r="C59" s="107" t="s">
        <v>16</v>
      </c>
      <c r="D59" s="481" t="s">
        <v>17</v>
      </c>
      <c r="E59" s="106"/>
      <c r="F59" s="106"/>
      <c r="G59" s="109"/>
      <c r="H59" s="110" t="s">
        <v>12</v>
      </c>
      <c r="I59" s="111"/>
      <c r="J59" s="111"/>
      <c r="K59" s="112"/>
      <c r="L59" s="113">
        <f ca="1">L60+L61</f>
        <v>412000</v>
      </c>
      <c r="M59" s="113">
        <f ca="1">M60+M61</f>
        <v>310850</v>
      </c>
      <c r="N59" s="113">
        <f ca="1">N60+N61</f>
        <v>105224.36</v>
      </c>
      <c r="O59" s="113">
        <f ca="1">IF(L59&gt;0,N59*100/L59,0)</f>
        <v>25.539893203883494</v>
      </c>
      <c r="P59" s="113">
        <f ca="1">IF(M59&gt;0,N59*100/M59,0)</f>
        <v>33.8505259771594</v>
      </c>
    </row>
    <row r="60" spans="1:16" ht="18.75" hidden="1" x14ac:dyDescent="0.25">
      <c r="A60" s="105"/>
      <c r="B60" s="106"/>
      <c r="C60" s="106"/>
      <c r="D60" s="106"/>
      <c r="E60" s="114" t="s">
        <v>18</v>
      </c>
      <c r="F60" s="106"/>
      <c r="G60" s="109"/>
      <c r="H60" s="115" t="s">
        <v>12</v>
      </c>
      <c r="I60" s="111"/>
      <c r="J60" s="111"/>
      <c r="K60" s="112"/>
      <c r="L60" s="116">
        <f>L63+L66</f>
        <v>0</v>
      </c>
      <c r="M60" s="116">
        <f>M63+M66</f>
        <v>0</v>
      </c>
      <c r="N60" s="116">
        <f>N63+N66</f>
        <v>0</v>
      </c>
      <c r="O60" s="116">
        <f>IF(L60&gt;0,N60*100/L60,0)</f>
        <v>0</v>
      </c>
      <c r="P60" s="116">
        <f>IF(M60&gt;0,N60*100/M60,0)</f>
        <v>0</v>
      </c>
    </row>
    <row r="61" spans="1:16" ht="18.75" x14ac:dyDescent="0.25">
      <c r="A61" s="105"/>
      <c r="B61" s="106"/>
      <c r="C61" s="106"/>
      <c r="D61" s="106"/>
      <c r="E61" s="117" t="s">
        <v>19</v>
      </c>
      <c r="F61" s="106"/>
      <c r="G61" s="109"/>
      <c r="H61" s="118" t="s">
        <v>12</v>
      </c>
      <c r="I61" s="111"/>
      <c r="J61" s="111"/>
      <c r="K61" s="112"/>
      <c r="L61" s="119">
        <f ca="1">L64+L67</f>
        <v>412000</v>
      </c>
      <c r="M61" s="119">
        <f ca="1">M64+M67</f>
        <v>310850</v>
      </c>
      <c r="N61" s="119">
        <f ca="1">N64+N67</f>
        <v>105224.36</v>
      </c>
      <c r="O61" s="119">
        <f ca="1">IF(L61&gt;0,N61*100/L61,0)</f>
        <v>25.539893203883494</v>
      </c>
      <c r="P61" s="119">
        <f ca="1">IF(M61&gt;0,N61*100/M61,0)</f>
        <v>33.8505259771594</v>
      </c>
    </row>
    <row r="62" spans="1:16" ht="18.75" x14ac:dyDescent="0.25">
      <c r="A62" s="41"/>
      <c r="B62" s="42"/>
      <c r="C62" s="42"/>
      <c r="D62" s="43" t="s">
        <v>20</v>
      </c>
      <c r="E62" s="42"/>
      <c r="F62" s="42"/>
      <c r="G62" s="44"/>
      <c r="H62" s="45" t="s">
        <v>12</v>
      </c>
      <c r="I62" s="46"/>
      <c r="J62" s="46"/>
      <c r="K62" s="47"/>
      <c r="L62" s="48">
        <f ca="1">L63+L64</f>
        <v>412000</v>
      </c>
      <c r="M62" s="48">
        <f ca="1">M63+M64</f>
        <v>310850</v>
      </c>
      <c r="N62" s="48">
        <f ca="1">N63+N64</f>
        <v>105224.36</v>
      </c>
      <c r="O62" s="48">
        <f ca="1">IF(L62&gt;0,N62*100/L62,0)</f>
        <v>25.539893203883494</v>
      </c>
      <c r="P62" s="48">
        <f ca="1">IF(M62&gt;0,N62*100/M62,0)</f>
        <v>33.8505259771594</v>
      </c>
    </row>
    <row r="63" spans="1:16" ht="18.75" hidden="1" x14ac:dyDescent="0.25">
      <c r="A63" s="41"/>
      <c r="B63" s="42"/>
      <c r="C63" s="42"/>
      <c r="D63" s="42"/>
      <c r="E63" s="296" t="s">
        <v>18</v>
      </c>
      <c r="F63" s="42"/>
      <c r="G63" s="44"/>
      <c r="H63" s="50" t="s">
        <v>12</v>
      </c>
      <c r="I63" s="46"/>
      <c r="J63" s="46"/>
      <c r="K63" s="47"/>
      <c r="L63" s="51">
        <v>0</v>
      </c>
      <c r="M63" s="51">
        <v>0</v>
      </c>
      <c r="N63" s="51">
        <v>0</v>
      </c>
      <c r="O63" s="51">
        <f>IF(L63&gt;0,N63*100/L63,0)</f>
        <v>0</v>
      </c>
      <c r="P63" s="51">
        <f>IF(M63&gt;0,N63*100/M63,0)</f>
        <v>0</v>
      </c>
    </row>
    <row r="64" spans="1:16" ht="18.75" x14ac:dyDescent="0.25">
      <c r="A64" s="41"/>
      <c r="B64" s="42"/>
      <c r="C64" s="42"/>
      <c r="D64" s="42"/>
      <c r="E64" s="52" t="s">
        <v>19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IFERROR(__xludf.DUMMYFUNCTION("IMPORTRANGE(""https://docs.google.com/spreadsheets/d/1-uDff_7J0KD5mKrp0Vvzr7lt3OU09vwQwhkpOPPYv2Y/edit?usp=sharing"",""งบพรบ!AC83"")"),412000)</f>
        <v>412000</v>
      </c>
      <c r="M64" s="48">
        <f ca="1">IFERROR(__xludf.DUMMYFUNCTION("IMPORTRANGE(""https://docs.google.com/spreadsheets/d/1-uDff_7J0KD5mKrp0Vvzr7lt3OU09vwQwhkpOPPYv2Y/edit?usp=sharing"",""งบพรบ!AH83"")"),310850)</f>
        <v>310850</v>
      </c>
      <c r="N64" s="48">
        <f ca="1">IFERROR(__xludf.DUMMYFUNCTION("IMPORTRANGE(""https://docs.google.com/spreadsheets/d/1-uDff_7J0KD5mKrp0Vvzr7lt3OU09vwQwhkpOPPYv2Y/edit?usp=sharing"",""งบพรบ!AJ83"")"),105224.36)</f>
        <v>105224.36</v>
      </c>
      <c r="O64" s="48">
        <f ca="1">IF(L64&gt;0,N64*100/L64,0)</f>
        <v>25.539893203883494</v>
      </c>
      <c r="P64" s="48">
        <f ca="1">IF(M64&gt;0,N64*100/M64,0)</f>
        <v>33.8505259771594</v>
      </c>
    </row>
    <row r="65" spans="1:16" ht="18.75" x14ac:dyDescent="0.25">
      <c r="A65" s="41"/>
      <c r="B65" s="42"/>
      <c r="C65" s="42"/>
      <c r="D65" s="43" t="s">
        <v>21</v>
      </c>
      <c r="E65" s="42"/>
      <c r="F65" s="42"/>
      <c r="G65" s="44"/>
      <c r="H65" s="45" t="s">
        <v>12</v>
      </c>
      <c r="I65" s="46"/>
      <c r="J65" s="46"/>
      <c r="K65" s="47"/>
      <c r="L65" s="48">
        <f ca="1">L66+L67</f>
        <v>0</v>
      </c>
      <c r="M65" s="48">
        <f ca="1">M66+M67</f>
        <v>0</v>
      </c>
      <c r="N65" s="48">
        <f ca="1">N66+N67</f>
        <v>0</v>
      </c>
      <c r="O65" s="48">
        <f ca="1">IF(L65&gt;0,N65*100/L65,0)</f>
        <v>0</v>
      </c>
      <c r="P65" s="48">
        <f ca="1">IF(M65&gt;0,N65*100/M65,0)</f>
        <v>0</v>
      </c>
    </row>
    <row r="66" spans="1:16" ht="18.75" hidden="1" x14ac:dyDescent="0.25">
      <c r="A66" s="41"/>
      <c r="B66" s="42"/>
      <c r="C66" s="42"/>
      <c r="D66" s="42"/>
      <c r="E66" s="296" t="s">
        <v>18</v>
      </c>
      <c r="F66" s="42"/>
      <c r="G66" s="44"/>
      <c r="H66" s="50" t="s">
        <v>12</v>
      </c>
      <c r="I66" s="46"/>
      <c r="J66" s="46"/>
      <c r="K66" s="47"/>
      <c r="L66" s="51">
        <v>0</v>
      </c>
      <c r="M66" s="51">
        <v>0</v>
      </c>
      <c r="N66" s="51">
        <v>0</v>
      </c>
      <c r="O66" s="51">
        <f>IF(L66&gt;0,N66*100/L66,0)</f>
        <v>0</v>
      </c>
      <c r="P66" s="51">
        <f>IF(M66&gt;0,N66*100/M66,0)</f>
        <v>0</v>
      </c>
    </row>
    <row r="67" spans="1:16" ht="18.75" x14ac:dyDescent="0.25">
      <c r="A67" s="53"/>
      <c r="B67" s="1"/>
      <c r="C67" s="1"/>
      <c r="D67" s="1"/>
      <c r="E67" s="54" t="s">
        <v>19</v>
      </c>
      <c r="F67" s="1"/>
      <c r="G67" s="55"/>
      <c r="H67" s="56" t="s">
        <v>12</v>
      </c>
      <c r="I67" s="57"/>
      <c r="J67" s="57"/>
      <c r="K67" s="58"/>
      <c r="L67" s="59">
        <f ca="1">IFERROR(__xludf.DUMMYFUNCTION("IMPORTRANGE(""https://docs.google.com/spreadsheets/d/1-uDff_7J0KD5mKrp0Vvzr7lt3OU09vwQwhkpOPPYv2Y/edit?usp=sharing"",""งบพรบ!AF83"")"),0)</f>
        <v>0</v>
      </c>
      <c r="M67" s="59">
        <f ca="1">IFERROR(__xludf.DUMMYFUNCTION("IMPORTRANGE(""https://docs.google.com/spreadsheets/d/1-uDff_7J0KD5mKrp0Vvzr7lt3OU09vwQwhkpOPPYv2Y/edit?usp=sharing"",""งบพรบ!AI83"")"),0)</f>
        <v>0</v>
      </c>
      <c r="N67" s="59">
        <f ca="1">IFERROR(__xludf.DUMMYFUNCTION("IMPORTRANGE(""https://docs.google.com/spreadsheets/d/1-uDff_7J0KD5mKrp0Vvzr7lt3OU09vwQwhkpOPPYv2Y/edit?usp=sharing"",""งบพรบ!AK83"")"),0)</f>
        <v>0</v>
      </c>
      <c r="O67" s="59">
        <f ca="1">IF(L67&gt;0,N67*100/L67,0)</f>
        <v>0</v>
      </c>
      <c r="P67" s="59">
        <f ca="1">IF(M67&gt;0,N67*100/M67,0)</f>
        <v>0</v>
      </c>
    </row>
    <row r="68" spans="1:16" ht="19.5" hidden="1" x14ac:dyDescent="0.3">
      <c r="A68" s="120" t="s">
        <v>29</v>
      </c>
      <c r="B68" s="121"/>
      <c r="C68" s="121"/>
      <c r="D68" s="121"/>
      <c r="E68" s="122"/>
      <c r="F68" s="122"/>
      <c r="G68" s="122"/>
      <c r="H68" s="122"/>
      <c r="I68" s="123"/>
      <c r="J68" s="123"/>
      <c r="K68" s="124"/>
      <c r="L68" s="124"/>
      <c r="M68" s="124"/>
      <c r="N68" s="124"/>
      <c r="O68" s="124"/>
      <c r="P68" s="125"/>
    </row>
    <row r="69" spans="1:16" ht="19.5" hidden="1" x14ac:dyDescent="0.3">
      <c r="A69" s="126" t="s">
        <v>30</v>
      </c>
      <c r="B69" s="127"/>
      <c r="C69" s="128"/>
      <c r="D69" s="127"/>
      <c r="E69" s="127"/>
      <c r="F69" s="127"/>
      <c r="G69" s="129"/>
      <c r="H69" s="129"/>
      <c r="I69" s="130"/>
      <c r="J69" s="130"/>
      <c r="K69" s="131"/>
      <c r="L69" s="131"/>
      <c r="M69" s="131"/>
      <c r="N69" s="131"/>
      <c r="O69" s="131"/>
      <c r="P69" s="131"/>
    </row>
    <row r="70" spans="1:16" ht="19.5" hidden="1" x14ac:dyDescent="0.3">
      <c r="A70" s="132"/>
      <c r="B70" s="133" t="s">
        <v>31</v>
      </c>
      <c r="C70" s="27"/>
      <c r="D70" s="134"/>
      <c r="E70" s="27"/>
      <c r="F70" s="27"/>
      <c r="G70" s="30"/>
      <c r="H70" s="135" t="s">
        <v>32</v>
      </c>
      <c r="I70" s="136">
        <f ca="1">I82</f>
        <v>0</v>
      </c>
      <c r="J70" s="136">
        <f>J82</f>
        <v>0</v>
      </c>
      <c r="K70" s="34">
        <f ca="1">IF(I70&gt;0,J70*100/I70,0)</f>
        <v>0</v>
      </c>
      <c r="L70" s="33"/>
      <c r="M70" s="33"/>
      <c r="N70" s="33"/>
      <c r="O70" s="33"/>
      <c r="P70" s="33"/>
    </row>
    <row r="71" spans="1:16" ht="19.5" hidden="1" x14ac:dyDescent="0.3">
      <c r="A71" s="132"/>
      <c r="B71" s="27"/>
      <c r="C71" s="27"/>
      <c r="D71" s="134"/>
      <c r="E71" s="27"/>
      <c r="F71" s="27"/>
      <c r="G71" s="30"/>
      <c r="H71" s="135" t="s">
        <v>33</v>
      </c>
      <c r="I71" s="136">
        <f ca="1">I83</f>
        <v>0</v>
      </c>
      <c r="J71" s="136">
        <f>J83</f>
        <v>0</v>
      </c>
      <c r="K71" s="34">
        <f ca="1">IF(I71&gt;0,J71*100/I71,0)</f>
        <v>0</v>
      </c>
      <c r="L71" s="33"/>
      <c r="M71" s="33"/>
      <c r="N71" s="33"/>
      <c r="O71" s="33"/>
      <c r="P71" s="33"/>
    </row>
    <row r="72" spans="1:16" ht="19.5" hidden="1" x14ac:dyDescent="0.3">
      <c r="A72" s="137"/>
      <c r="B72" s="42"/>
      <c r="C72" s="198" t="s">
        <v>16</v>
      </c>
      <c r="D72" s="475" t="s">
        <v>17</v>
      </c>
      <c r="E72" s="42"/>
      <c r="F72" s="42"/>
      <c r="G72" s="44"/>
      <c r="H72" s="140" t="s">
        <v>12</v>
      </c>
      <c r="I72" s="46"/>
      <c r="J72" s="46"/>
      <c r="K72" s="47"/>
      <c r="L72" s="141">
        <f ca="1">L73+L74</f>
        <v>0</v>
      </c>
      <c r="M72" s="141">
        <f ca="1">M73+M74</f>
        <v>0</v>
      </c>
      <c r="N72" s="141">
        <f ca="1">N73+N74</f>
        <v>0</v>
      </c>
      <c r="O72" s="141">
        <f ca="1">IF(L72&gt;0,N72*100/L72,0)</f>
        <v>0</v>
      </c>
      <c r="P72" s="141">
        <f ca="1">IF(M72&gt;0,N72*100/M72,0)</f>
        <v>0</v>
      </c>
    </row>
    <row r="73" spans="1:16" ht="18.75" hidden="1" x14ac:dyDescent="0.25">
      <c r="A73" s="137"/>
      <c r="B73" s="42"/>
      <c r="C73" s="42"/>
      <c r="D73" s="42"/>
      <c r="E73" s="296" t="s">
        <v>18</v>
      </c>
      <c r="F73" s="42"/>
      <c r="G73" s="44"/>
      <c r="H73" s="142" t="s">
        <v>12</v>
      </c>
      <c r="I73" s="46"/>
      <c r="J73" s="46"/>
      <c r="K73" s="47"/>
      <c r="L73" s="51">
        <f>L76+L79</f>
        <v>0</v>
      </c>
      <c r="M73" s="51">
        <f>M76+M79</f>
        <v>0</v>
      </c>
      <c r="N73" s="51">
        <f>N76+N79</f>
        <v>0</v>
      </c>
      <c r="O73" s="51">
        <f>IF(L73&gt;0,N73*100/L73,0)</f>
        <v>0</v>
      </c>
      <c r="P73" s="51">
        <f>IF(M73&gt;0,N73*100/M73,0)</f>
        <v>0</v>
      </c>
    </row>
    <row r="74" spans="1:16" ht="18.75" hidden="1" x14ac:dyDescent="0.25">
      <c r="A74" s="137"/>
      <c r="B74" s="42"/>
      <c r="C74" s="42"/>
      <c r="D74" s="42"/>
      <c r="E74" s="52" t="s">
        <v>19</v>
      </c>
      <c r="F74" s="42"/>
      <c r="G74" s="44"/>
      <c r="H74" s="143" t="s">
        <v>12</v>
      </c>
      <c r="I74" s="46"/>
      <c r="J74" s="46"/>
      <c r="K74" s="47"/>
      <c r="L74" s="48">
        <f ca="1">L77+L80</f>
        <v>0</v>
      </c>
      <c r="M74" s="48">
        <f ca="1">M77+M80</f>
        <v>0</v>
      </c>
      <c r="N74" s="48">
        <f ca="1">N77+N80</f>
        <v>0</v>
      </c>
      <c r="O74" s="48">
        <f ca="1">IF(L74&gt;0,N74*100/L74,0)</f>
        <v>0</v>
      </c>
      <c r="P74" s="48">
        <f ca="1">IF(M74&gt;0,N74*100/M74,0)</f>
        <v>0</v>
      </c>
    </row>
    <row r="75" spans="1:16" ht="18.75" hidden="1" x14ac:dyDescent="0.25">
      <c r="A75" s="137"/>
      <c r="B75" s="42"/>
      <c r="C75" s="42"/>
      <c r="D75" s="43" t="s">
        <v>20</v>
      </c>
      <c r="E75" s="42"/>
      <c r="F75" s="42"/>
      <c r="G75" s="44"/>
      <c r="H75" s="144" t="s">
        <v>12</v>
      </c>
      <c r="I75" s="145"/>
      <c r="J75" s="145"/>
      <c r="K75" s="146"/>
      <c r="L75" s="48">
        <f ca="1">L76+L77</f>
        <v>0</v>
      </c>
      <c r="M75" s="48">
        <f ca="1">M76+M77</f>
        <v>0</v>
      </c>
      <c r="N75" s="48">
        <f ca="1">N76+N77</f>
        <v>0</v>
      </c>
      <c r="O75" s="48">
        <f ca="1">IF(L75&gt;0,N75*100/L75,0)</f>
        <v>0</v>
      </c>
      <c r="P75" s="48">
        <f ca="1">IF(M75&gt;0,N75*100/M75,0)</f>
        <v>0</v>
      </c>
    </row>
    <row r="76" spans="1:16" ht="18.75" hidden="1" x14ac:dyDescent="0.25">
      <c r="A76" s="137"/>
      <c r="B76" s="42"/>
      <c r="C76" s="42"/>
      <c r="D76" s="42"/>
      <c r="E76" s="296" t="s">
        <v>34</v>
      </c>
      <c r="F76" s="42"/>
      <c r="G76" s="44"/>
      <c r="H76" s="147" t="s">
        <v>12</v>
      </c>
      <c r="I76" s="145"/>
      <c r="J76" s="145"/>
      <c r="K76" s="146"/>
      <c r="L76" s="51">
        <v>0</v>
      </c>
      <c r="M76" s="51">
        <v>0</v>
      </c>
      <c r="N76" s="51">
        <v>0</v>
      </c>
      <c r="O76" s="51">
        <f>IF(L76&gt;0,N76*100/L76,0)</f>
        <v>0</v>
      </c>
      <c r="P76" s="51">
        <f>IF(M76&gt;0,N76*100/M76,0)</f>
        <v>0</v>
      </c>
    </row>
    <row r="77" spans="1:16" ht="18.75" hidden="1" x14ac:dyDescent="0.25">
      <c r="A77" s="137"/>
      <c r="B77" s="42"/>
      <c r="C77" s="42"/>
      <c r="D77" s="42"/>
      <c r="E77" s="52" t="s">
        <v>35</v>
      </c>
      <c r="F77" s="42"/>
      <c r="G77" s="44"/>
      <c r="H77" s="144" t="s">
        <v>12</v>
      </c>
      <c r="I77" s="145"/>
      <c r="J77" s="145"/>
      <c r="K77" s="146"/>
      <c r="L77" s="48">
        <f ca="1">IFERROR(__xludf.DUMMYFUNCTION("IMPORTRANGE(""https://docs.google.com/spreadsheets/d/1-uDff_7J0KD5mKrp0Vvzr7lt3OU09vwQwhkpOPPYv2Y/edit?usp=sharing"",""งบพรบ!AM83"")"),0)</f>
        <v>0</v>
      </c>
      <c r="M77" s="48">
        <f ca="1">IFERROR(__xludf.DUMMYFUNCTION("IMPORTRANGE(""https://docs.google.com/spreadsheets/d/1-uDff_7J0KD5mKrp0Vvzr7lt3OU09vwQwhkpOPPYv2Y/edit?usp=sharing"",""งบพรบ!AR83"")"),0)</f>
        <v>0</v>
      </c>
      <c r="N77" s="48">
        <f ca="1">IFERROR(__xludf.DUMMYFUNCTION("IMPORTRANGE(""https://docs.google.com/spreadsheets/d/1-uDff_7J0KD5mKrp0Vvzr7lt3OU09vwQwhkpOPPYv2Y/edit?usp=sharing"",""งบพรบ!AT83"")"),0)</f>
        <v>0</v>
      </c>
      <c r="O77" s="48">
        <f ca="1">IF(L77&gt;0,N77*100/L77,0)</f>
        <v>0</v>
      </c>
      <c r="P77" s="48">
        <f ca="1">IF(M77&gt;0,N77*100/M77,0)</f>
        <v>0</v>
      </c>
    </row>
    <row r="78" spans="1:16" ht="18.75" hidden="1" x14ac:dyDescent="0.25">
      <c r="A78" s="137"/>
      <c r="B78" s="42"/>
      <c r="C78" s="42"/>
      <c r="D78" s="43" t="s">
        <v>21</v>
      </c>
      <c r="E78" s="42"/>
      <c r="F78" s="42"/>
      <c r="G78" s="44"/>
      <c r="H78" s="148" t="s">
        <v>12</v>
      </c>
      <c r="I78" s="145"/>
      <c r="J78" s="145"/>
      <c r="K78" s="146"/>
      <c r="L78" s="48">
        <f ca="1">L79+L80</f>
        <v>0</v>
      </c>
      <c r="M78" s="48">
        <f ca="1">M79+M80</f>
        <v>0</v>
      </c>
      <c r="N78" s="48">
        <f ca="1">N79+N80</f>
        <v>0</v>
      </c>
      <c r="O78" s="48">
        <f ca="1">IF(L78&gt;0,N78*100/L78,0)</f>
        <v>0</v>
      </c>
      <c r="P78" s="48">
        <f ca="1">IF(M78&gt;0,N78*100/M78,0)</f>
        <v>0</v>
      </c>
    </row>
    <row r="79" spans="1:16" ht="18.75" hidden="1" x14ac:dyDescent="0.25">
      <c r="A79" s="137"/>
      <c r="B79" s="42"/>
      <c r="C79" s="42"/>
      <c r="D79" s="42"/>
      <c r="E79" s="296" t="s">
        <v>18</v>
      </c>
      <c r="F79" s="42"/>
      <c r="G79" s="44"/>
      <c r="H79" s="147" t="s">
        <v>12</v>
      </c>
      <c r="I79" s="145"/>
      <c r="J79" s="145"/>
      <c r="K79" s="146"/>
      <c r="L79" s="51">
        <v>0</v>
      </c>
      <c r="M79" s="47"/>
      <c r="N79" s="47"/>
      <c r="O79" s="51">
        <f>IF(L79&gt;0,N79*100/L79,0)</f>
        <v>0</v>
      </c>
      <c r="P79" s="51">
        <f>IF(M79&gt;0,N79*100/M79,0)</f>
        <v>0</v>
      </c>
    </row>
    <row r="80" spans="1:16" ht="18.75" hidden="1" x14ac:dyDescent="0.25">
      <c r="A80" s="137"/>
      <c r="B80" s="42"/>
      <c r="C80" s="42"/>
      <c r="D80" s="42"/>
      <c r="E80" s="52" t="s">
        <v>19</v>
      </c>
      <c r="F80" s="42"/>
      <c r="G80" s="44"/>
      <c r="H80" s="148" t="s">
        <v>12</v>
      </c>
      <c r="I80" s="145"/>
      <c r="J80" s="145"/>
      <c r="K80" s="146"/>
      <c r="L80" s="48">
        <f ca="1">IFERROR(__xludf.DUMMYFUNCTION("IMPORTRANGE(""https://docs.google.com/spreadsheets/d/1-uDff_7J0KD5mKrp0Vvzr7lt3OU09vwQwhkpOPPYv2Y/edit?usp=sharing"",""งบพรบ!AP83"")"),0)</f>
        <v>0</v>
      </c>
      <c r="M80" s="48">
        <f ca="1">IFERROR(__xludf.DUMMYFUNCTION("IMPORTRANGE(""https://docs.google.com/spreadsheets/d/1-uDff_7J0KD5mKrp0Vvzr7lt3OU09vwQwhkpOPPYv2Y/edit?usp=sharing"",""งบพรบ!AS83"")"),0)</f>
        <v>0</v>
      </c>
      <c r="N80" s="48">
        <f ca="1">IFERROR(__xludf.DUMMYFUNCTION("IMPORTRANGE(""https://docs.google.com/spreadsheets/d/1-uDff_7J0KD5mKrp0Vvzr7lt3OU09vwQwhkpOPPYv2Y/edit?usp=sharing"",""งบพรบ!AU83"")"),0)</f>
        <v>0</v>
      </c>
      <c r="O80" s="48">
        <f ca="1">IF(L80&gt;0,N80*100/L80,0)</f>
        <v>0</v>
      </c>
      <c r="P80" s="48">
        <f ca="1">IF(M80&gt;0,N80*100/M80,0)</f>
        <v>0</v>
      </c>
    </row>
    <row r="81" spans="1:16" ht="19.5" hidden="1" x14ac:dyDescent="0.3">
      <c r="A81" s="149"/>
      <c r="B81" s="150"/>
      <c r="C81" s="198" t="s">
        <v>16</v>
      </c>
      <c r="D81" s="473" t="s">
        <v>36</v>
      </c>
      <c r="E81" s="152"/>
      <c r="F81" s="152"/>
      <c r="G81" s="153"/>
      <c r="H81" s="154"/>
      <c r="I81" s="145"/>
      <c r="J81" s="145"/>
      <c r="K81" s="146"/>
      <c r="L81" s="146"/>
      <c r="M81" s="146"/>
      <c r="N81" s="146"/>
      <c r="O81" s="146"/>
      <c r="P81" s="146"/>
    </row>
    <row r="82" spans="1:16" ht="19.5" hidden="1" x14ac:dyDescent="0.3">
      <c r="A82" s="149"/>
      <c r="B82" s="150"/>
      <c r="C82" s="150"/>
      <c r="D82" s="155" t="s">
        <v>37</v>
      </c>
      <c r="E82" s="156"/>
      <c r="F82" s="156"/>
      <c r="G82" s="154"/>
      <c r="H82" s="157" t="s">
        <v>32</v>
      </c>
      <c r="I82" s="158">
        <f ca="1">I84+I86+I88</f>
        <v>0</v>
      </c>
      <c r="J82" s="158">
        <f>J84+J86+J88</f>
        <v>0</v>
      </c>
      <c r="K82" s="159">
        <f ca="1">IF(I82&gt;0,J82*100/I82,0)</f>
        <v>0</v>
      </c>
      <c r="L82" s="146"/>
      <c r="M82" s="146"/>
      <c r="N82" s="146"/>
      <c r="O82" s="146"/>
      <c r="P82" s="146"/>
    </row>
    <row r="83" spans="1:16" ht="19.5" hidden="1" x14ac:dyDescent="0.3">
      <c r="A83" s="149"/>
      <c r="B83" s="150"/>
      <c r="C83" s="150"/>
      <c r="D83" s="150"/>
      <c r="E83" s="156"/>
      <c r="F83" s="156"/>
      <c r="G83" s="154"/>
      <c r="H83" s="157" t="s">
        <v>33</v>
      </c>
      <c r="I83" s="158">
        <f ca="1">I85+I87+I89</f>
        <v>0</v>
      </c>
      <c r="J83" s="158">
        <f>J85+J87+J89</f>
        <v>0</v>
      </c>
      <c r="K83" s="159">
        <f ca="1">IF(I83&gt;0,J83*100/I83,0)</f>
        <v>0</v>
      </c>
      <c r="L83" s="146"/>
      <c r="M83" s="146"/>
      <c r="N83" s="146"/>
      <c r="O83" s="146"/>
      <c r="P83" s="146"/>
    </row>
    <row r="84" spans="1:16" ht="18.75" hidden="1" x14ac:dyDescent="0.25">
      <c r="A84" s="149"/>
      <c r="B84" s="150"/>
      <c r="C84" s="150"/>
      <c r="D84" s="150"/>
      <c r="E84" s="160" t="s">
        <v>38</v>
      </c>
      <c r="F84" s="156"/>
      <c r="G84" s="154"/>
      <c r="H84" s="251" t="s">
        <v>32</v>
      </c>
      <c r="I84" s="162">
        <f ca="1">IFERROR(__xludf.DUMMYFUNCTION("IMPORTRANGE(""https://docs.google.com/spreadsheets/d/1eHaY18a8A9IcSdp1K8H6x8fbOy06t2VsZHhMHf-1x7Y/edit?usp=sharing"",""แผน!H83"")"),0)</f>
        <v>0</v>
      </c>
      <c r="J84" s="163">
        <v>0</v>
      </c>
      <c r="K84" s="164">
        <f ca="1">IF(I84&gt;0,J84*100/I84,0)</f>
        <v>0</v>
      </c>
      <c r="L84" s="146"/>
      <c r="M84" s="146"/>
      <c r="N84" s="146"/>
      <c r="O84" s="146"/>
      <c r="P84" s="146"/>
    </row>
    <row r="85" spans="1:16" ht="18.75" hidden="1" x14ac:dyDescent="0.25">
      <c r="A85" s="149"/>
      <c r="B85" s="150"/>
      <c r="C85" s="150"/>
      <c r="D85" s="150"/>
      <c r="E85" s="156"/>
      <c r="F85" s="156"/>
      <c r="G85" s="154"/>
      <c r="H85" s="251" t="s">
        <v>33</v>
      </c>
      <c r="I85" s="162">
        <f ca="1">IFERROR(__xludf.DUMMYFUNCTION("IMPORTRANGE(""https://docs.google.com/spreadsheets/d/1eHaY18a8A9IcSdp1K8H6x8fbOy06t2VsZHhMHf-1x7Y/edit?usp=sharing"",""แผน!I83"")"),0)</f>
        <v>0</v>
      </c>
      <c r="J85" s="163">
        <v>0</v>
      </c>
      <c r="K85" s="164">
        <f ca="1">IF(I85&gt;0,J85*100/I85,0)</f>
        <v>0</v>
      </c>
      <c r="L85" s="146"/>
      <c r="M85" s="146"/>
      <c r="N85" s="146"/>
      <c r="O85" s="146"/>
      <c r="P85" s="146"/>
    </row>
    <row r="86" spans="1:16" ht="18.75" hidden="1" x14ac:dyDescent="0.25">
      <c r="A86" s="149"/>
      <c r="B86" s="150"/>
      <c r="C86" s="150"/>
      <c r="D86" s="150"/>
      <c r="E86" s="160" t="s">
        <v>39</v>
      </c>
      <c r="F86" s="156"/>
      <c r="G86" s="154"/>
      <c r="H86" s="251" t="s">
        <v>32</v>
      </c>
      <c r="I86" s="162">
        <f ca="1">IFERROR(__xludf.DUMMYFUNCTION("IMPORTRANGE(""https://docs.google.com/spreadsheets/d/1eHaY18a8A9IcSdp1K8H6x8fbOy06t2VsZHhMHf-1x7Y/edit?usp=sharing"",""แผน!F83"")"),0)</f>
        <v>0</v>
      </c>
      <c r="J86" s="163">
        <v>0</v>
      </c>
      <c r="K86" s="164">
        <f ca="1">IF(I86&gt;0,J86*100/I86,0)</f>
        <v>0</v>
      </c>
      <c r="L86" s="146"/>
      <c r="M86" s="146"/>
      <c r="N86" s="146"/>
      <c r="O86" s="146"/>
      <c r="P86" s="146"/>
    </row>
    <row r="87" spans="1:16" ht="18.75" hidden="1" x14ac:dyDescent="0.25">
      <c r="A87" s="149"/>
      <c r="B87" s="150"/>
      <c r="C87" s="150"/>
      <c r="D87" s="150"/>
      <c r="E87" s="156"/>
      <c r="F87" s="156"/>
      <c r="G87" s="154"/>
      <c r="H87" s="251" t="s">
        <v>33</v>
      </c>
      <c r="I87" s="162">
        <f ca="1">IFERROR(__xludf.DUMMYFUNCTION("IMPORTRANGE(""https://docs.google.com/spreadsheets/d/1eHaY18a8A9IcSdp1K8H6x8fbOy06t2VsZHhMHf-1x7Y/edit?usp=sharing"",""แผน!G83"")"),0)</f>
        <v>0</v>
      </c>
      <c r="J87" s="163">
        <v>0</v>
      </c>
      <c r="K87" s="164">
        <f ca="1">IF(I87&gt;0,J87*100/I87,0)</f>
        <v>0</v>
      </c>
      <c r="L87" s="146"/>
      <c r="M87" s="146"/>
      <c r="N87" s="146"/>
      <c r="O87" s="146"/>
      <c r="P87" s="146"/>
    </row>
    <row r="88" spans="1:16" ht="18.75" hidden="1" x14ac:dyDescent="0.25">
      <c r="A88" s="149"/>
      <c r="B88" s="150"/>
      <c r="C88" s="150"/>
      <c r="D88" s="150"/>
      <c r="E88" s="160" t="s">
        <v>40</v>
      </c>
      <c r="F88" s="156"/>
      <c r="G88" s="154"/>
      <c r="H88" s="251" t="s">
        <v>32</v>
      </c>
      <c r="I88" s="162">
        <f ca="1">IFERROR(__xludf.DUMMYFUNCTION("IMPORTRANGE(""https://docs.google.com/spreadsheets/d/1eHaY18a8A9IcSdp1K8H6x8fbOy06t2VsZHhMHf-1x7Y/edit?usp=sharing"",""แผน!D83"")"),0)</f>
        <v>0</v>
      </c>
      <c r="J88" s="163">
        <v>0</v>
      </c>
      <c r="K88" s="164">
        <f ca="1">IF(I88&gt;0,J88*100/I88,0)</f>
        <v>0</v>
      </c>
      <c r="L88" s="146"/>
      <c r="M88" s="146"/>
      <c r="N88" s="146"/>
      <c r="O88" s="146"/>
      <c r="P88" s="146"/>
    </row>
    <row r="89" spans="1:16" ht="18.75" hidden="1" x14ac:dyDescent="0.25">
      <c r="A89" s="149"/>
      <c r="B89" s="150"/>
      <c r="C89" s="150"/>
      <c r="D89" s="150"/>
      <c r="E89" s="156"/>
      <c r="F89" s="156"/>
      <c r="G89" s="154"/>
      <c r="H89" s="251" t="s">
        <v>33</v>
      </c>
      <c r="I89" s="162">
        <f ca="1">IFERROR(__xludf.DUMMYFUNCTION("IMPORTRANGE(""https://docs.google.com/spreadsheets/d/1eHaY18a8A9IcSdp1K8H6x8fbOy06t2VsZHhMHf-1x7Y/edit?usp=sharing"",""แผน!E83"")"),0)</f>
        <v>0</v>
      </c>
      <c r="J89" s="163">
        <v>0</v>
      </c>
      <c r="K89" s="164">
        <f ca="1">IF(I89&gt;0,J89*100/I89,0)</f>
        <v>0</v>
      </c>
      <c r="L89" s="146"/>
      <c r="M89" s="146"/>
      <c r="N89" s="146"/>
      <c r="O89" s="146"/>
      <c r="P89" s="146"/>
    </row>
    <row r="90" spans="1:16" ht="18.75" hidden="1" x14ac:dyDescent="0.25">
      <c r="A90" s="149"/>
      <c r="B90" s="150"/>
      <c r="C90" s="150"/>
      <c r="D90" s="155" t="s">
        <v>41</v>
      </c>
      <c r="E90" s="156"/>
      <c r="F90" s="156"/>
      <c r="G90" s="154"/>
      <c r="H90" s="165" t="s">
        <v>32</v>
      </c>
      <c r="I90" s="162">
        <f ca="1">IFERROR(__xludf.DUMMYFUNCTION("IMPORTRANGE(""https://docs.google.com/spreadsheets/d/1eHaY18a8A9IcSdp1K8H6x8fbOy06t2VsZHhMHf-1x7Y/edit?usp=sharing"",""แผน!J83"")"),0)</f>
        <v>0</v>
      </c>
      <c r="J90" s="163">
        <v>0</v>
      </c>
      <c r="K90" s="164">
        <f ca="1">IF(I90&gt;0,J90*100/I90,0)</f>
        <v>0</v>
      </c>
      <c r="L90" s="146"/>
      <c r="M90" s="146"/>
      <c r="N90" s="146"/>
      <c r="O90" s="146"/>
      <c r="P90" s="146"/>
    </row>
    <row r="91" spans="1:16" ht="19.5" hidden="1" x14ac:dyDescent="0.3">
      <c r="A91" s="126" t="s">
        <v>42</v>
      </c>
      <c r="B91" s="127"/>
      <c r="C91" s="128"/>
      <c r="D91" s="127"/>
      <c r="E91" s="127"/>
      <c r="F91" s="127"/>
      <c r="G91" s="129"/>
      <c r="H91" s="129"/>
      <c r="I91" s="130"/>
      <c r="J91" s="130"/>
      <c r="K91" s="131"/>
      <c r="L91" s="131"/>
      <c r="M91" s="131"/>
      <c r="N91" s="131"/>
      <c r="O91" s="131"/>
      <c r="P91" s="131"/>
    </row>
    <row r="92" spans="1:16" ht="19.5" hidden="1" x14ac:dyDescent="0.3">
      <c r="A92" s="132"/>
      <c r="B92" s="133" t="s">
        <v>43</v>
      </c>
      <c r="C92" s="27"/>
      <c r="D92" s="134"/>
      <c r="E92" s="27"/>
      <c r="F92" s="27"/>
      <c r="G92" s="30"/>
      <c r="H92" s="135" t="s">
        <v>44</v>
      </c>
      <c r="I92" s="136">
        <f ca="1">I108</f>
        <v>0</v>
      </c>
      <c r="J92" s="136">
        <f>J108</f>
        <v>0</v>
      </c>
      <c r="K92" s="34">
        <f ca="1">IF(I92&gt;0,J92*100/I92,0)</f>
        <v>0</v>
      </c>
      <c r="L92" s="33"/>
      <c r="M92" s="33"/>
      <c r="N92" s="33"/>
      <c r="O92" s="33"/>
      <c r="P92" s="33"/>
    </row>
    <row r="93" spans="1:16" ht="19.5" hidden="1" x14ac:dyDescent="0.3">
      <c r="A93" s="132"/>
      <c r="B93" s="27"/>
      <c r="C93" s="27"/>
      <c r="D93" s="134"/>
      <c r="E93" s="27"/>
      <c r="F93" s="27"/>
      <c r="G93" s="30"/>
      <c r="H93" s="135" t="s">
        <v>33</v>
      </c>
      <c r="I93" s="136">
        <f ca="1">I109</f>
        <v>0</v>
      </c>
      <c r="J93" s="136">
        <f>J109</f>
        <v>0</v>
      </c>
      <c r="K93" s="34">
        <f ca="1">IF(I93&gt;0,J93*100/I93,0)</f>
        <v>0</v>
      </c>
      <c r="L93" s="33"/>
      <c r="M93" s="33"/>
      <c r="N93" s="33"/>
      <c r="O93" s="33"/>
      <c r="P93" s="33"/>
    </row>
    <row r="94" spans="1:16" ht="19.5" hidden="1" x14ac:dyDescent="0.3">
      <c r="A94" s="137"/>
      <c r="B94" s="42"/>
      <c r="C94" s="198" t="s">
        <v>16</v>
      </c>
      <c r="D94" s="475" t="s">
        <v>17</v>
      </c>
      <c r="E94" s="42"/>
      <c r="F94" s="42"/>
      <c r="G94" s="44"/>
      <c r="H94" s="140" t="s">
        <v>12</v>
      </c>
      <c r="I94" s="46"/>
      <c r="J94" s="46"/>
      <c r="K94" s="47"/>
      <c r="L94" s="141">
        <f ca="1">L95+L96</f>
        <v>0</v>
      </c>
      <c r="M94" s="141">
        <f ca="1">M95+M96</f>
        <v>0</v>
      </c>
      <c r="N94" s="141">
        <f ca="1">N95+N96</f>
        <v>0</v>
      </c>
      <c r="O94" s="141">
        <f ca="1">IF(L94&gt;0,N94*100/L94,0)</f>
        <v>0</v>
      </c>
      <c r="P94" s="141">
        <f ca="1">IF(M94&gt;0,N94*100/M94,0)</f>
        <v>0</v>
      </c>
    </row>
    <row r="95" spans="1:16" ht="18.75" hidden="1" x14ac:dyDescent="0.25">
      <c r="A95" s="137"/>
      <c r="B95" s="42"/>
      <c r="C95" s="42"/>
      <c r="D95" s="42"/>
      <c r="E95" s="296" t="s">
        <v>18</v>
      </c>
      <c r="F95" s="42"/>
      <c r="G95" s="44"/>
      <c r="H95" s="142" t="s">
        <v>12</v>
      </c>
      <c r="I95" s="46"/>
      <c r="J95" s="46"/>
      <c r="K95" s="47"/>
      <c r="L95" s="51">
        <f>L98+L101</f>
        <v>0</v>
      </c>
      <c r="M95" s="51">
        <f>M98+M101</f>
        <v>0</v>
      </c>
      <c r="N95" s="51">
        <f>N98+N101</f>
        <v>0</v>
      </c>
      <c r="O95" s="51">
        <f>IF(L95&gt;0,N95*100/L95,0)</f>
        <v>0</v>
      </c>
      <c r="P95" s="51">
        <f>IF(M95&gt;0,N95*100/M95,0)</f>
        <v>0</v>
      </c>
    </row>
    <row r="96" spans="1:16" ht="18.75" hidden="1" x14ac:dyDescent="0.25">
      <c r="A96" s="137"/>
      <c r="B96" s="42"/>
      <c r="C96" s="42"/>
      <c r="D96" s="42"/>
      <c r="E96" s="52" t="s">
        <v>19</v>
      </c>
      <c r="F96" s="42"/>
      <c r="G96" s="44"/>
      <c r="H96" s="143" t="s">
        <v>12</v>
      </c>
      <c r="I96" s="46"/>
      <c r="J96" s="46"/>
      <c r="K96" s="47"/>
      <c r="L96" s="48">
        <f ca="1">L99+L102</f>
        <v>0</v>
      </c>
      <c r="M96" s="48">
        <f ca="1">M99+M102</f>
        <v>0</v>
      </c>
      <c r="N96" s="48">
        <f ca="1">N99+N102</f>
        <v>0</v>
      </c>
      <c r="O96" s="48">
        <f ca="1">IF(L96&gt;0,N96*100/L96,0)</f>
        <v>0</v>
      </c>
      <c r="P96" s="48">
        <f ca="1">IF(M96&gt;0,N96*100/M96,0)</f>
        <v>0</v>
      </c>
    </row>
    <row r="97" spans="1:16" ht="18.75" hidden="1" x14ac:dyDescent="0.25">
      <c r="A97" s="137"/>
      <c r="B97" s="42"/>
      <c r="C97" s="42"/>
      <c r="D97" s="43" t="s">
        <v>20</v>
      </c>
      <c r="E97" s="42"/>
      <c r="F97" s="42"/>
      <c r="G97" s="44"/>
      <c r="H97" s="144" t="s">
        <v>12</v>
      </c>
      <c r="I97" s="145"/>
      <c r="J97" s="145"/>
      <c r="K97" s="146"/>
      <c r="L97" s="48">
        <f ca="1">L98+L99</f>
        <v>0</v>
      </c>
      <c r="M97" s="48">
        <f ca="1">M98+M99</f>
        <v>0</v>
      </c>
      <c r="N97" s="48">
        <f ca="1">N98+N99</f>
        <v>0</v>
      </c>
      <c r="O97" s="48">
        <f ca="1">IF(L97&gt;0,N97*100/L97,0)</f>
        <v>0</v>
      </c>
      <c r="P97" s="48">
        <f ca="1">IF(M97&gt;0,N97*100/M97,0)</f>
        <v>0</v>
      </c>
    </row>
    <row r="98" spans="1:16" ht="18.75" hidden="1" x14ac:dyDescent="0.25">
      <c r="A98" s="137"/>
      <c r="B98" s="42"/>
      <c r="C98" s="42"/>
      <c r="D98" s="42"/>
      <c r="E98" s="296" t="s">
        <v>34</v>
      </c>
      <c r="F98" s="42"/>
      <c r="G98" s="44"/>
      <c r="H98" s="147" t="s">
        <v>12</v>
      </c>
      <c r="I98" s="145"/>
      <c r="J98" s="145"/>
      <c r="K98" s="146"/>
      <c r="L98" s="51">
        <v>0</v>
      </c>
      <c r="M98" s="51">
        <v>0</v>
      </c>
      <c r="N98" s="51">
        <v>0</v>
      </c>
      <c r="O98" s="51">
        <f>IF(L98&gt;0,N98*100/L98,0)</f>
        <v>0</v>
      </c>
      <c r="P98" s="51">
        <f>IF(M98&gt;0,N98*100/M98,0)</f>
        <v>0</v>
      </c>
    </row>
    <row r="99" spans="1:16" ht="18.75" hidden="1" x14ac:dyDescent="0.25">
      <c r="A99" s="137"/>
      <c r="B99" s="42"/>
      <c r="C99" s="42"/>
      <c r="D99" s="42"/>
      <c r="E99" s="52" t="s">
        <v>35</v>
      </c>
      <c r="F99" s="42"/>
      <c r="G99" s="44"/>
      <c r="H99" s="144" t="s">
        <v>12</v>
      </c>
      <c r="I99" s="145"/>
      <c r="J99" s="145"/>
      <c r="K99" s="146"/>
      <c r="L99" s="48">
        <f ca="1">IFERROR(__xludf.DUMMYFUNCTION("IMPORTRANGE(""https://docs.google.com/spreadsheets/d/1-uDff_7J0KD5mKrp0Vvzr7lt3OU09vwQwhkpOPPYv2Y/edit?usp=sharing"",""งบพรบ!AW83"")"),0)</f>
        <v>0</v>
      </c>
      <c r="M99" s="48">
        <f ca="1">IFERROR(__xludf.DUMMYFUNCTION("IMPORTRANGE(""https://docs.google.com/spreadsheets/d/1-uDff_7J0KD5mKrp0Vvzr7lt3OU09vwQwhkpOPPYv2Y/edit?usp=sharing"",""งบพรบ!BB83"")"),0)</f>
        <v>0</v>
      </c>
      <c r="N99" s="48">
        <f ca="1">IFERROR(__xludf.DUMMYFUNCTION("IMPORTRANGE(""https://docs.google.com/spreadsheets/d/1-uDff_7J0KD5mKrp0Vvzr7lt3OU09vwQwhkpOPPYv2Y/edit?usp=sharing"",""งบพรบ!BD83"")"),0)</f>
        <v>0</v>
      </c>
      <c r="O99" s="48">
        <f ca="1">IF(L99&gt;0,N99*100/L99,0)</f>
        <v>0</v>
      </c>
      <c r="P99" s="48">
        <f ca="1">IF(M99&gt;0,N99*100/M99,0)</f>
        <v>0</v>
      </c>
    </row>
    <row r="100" spans="1:16" ht="18.75" hidden="1" x14ac:dyDescent="0.25">
      <c r="A100" s="137"/>
      <c r="B100" s="42"/>
      <c r="C100" s="42"/>
      <c r="D100" s="43" t="s">
        <v>21</v>
      </c>
      <c r="E100" s="42"/>
      <c r="F100" s="42"/>
      <c r="G100" s="44"/>
      <c r="H100" s="148" t="s">
        <v>12</v>
      </c>
      <c r="I100" s="145"/>
      <c r="J100" s="145"/>
      <c r="K100" s="146"/>
      <c r="L100" s="48">
        <f ca="1">L101+L102</f>
        <v>0</v>
      </c>
      <c r="M100" s="48">
        <f ca="1">M101+M102</f>
        <v>0</v>
      </c>
      <c r="N100" s="48">
        <f ca="1">N101+N102</f>
        <v>0</v>
      </c>
      <c r="O100" s="48">
        <f ca="1">IF(L100&gt;0,N100*100/L100,0)</f>
        <v>0</v>
      </c>
      <c r="P100" s="48">
        <f ca="1">IF(M100&gt;0,N100*100/M100,0)</f>
        <v>0</v>
      </c>
    </row>
    <row r="101" spans="1:16" ht="18.75" hidden="1" x14ac:dyDescent="0.25">
      <c r="A101" s="137"/>
      <c r="B101" s="42"/>
      <c r="C101" s="42"/>
      <c r="D101" s="42"/>
      <c r="E101" s="296" t="s">
        <v>18</v>
      </c>
      <c r="F101" s="42"/>
      <c r="G101" s="44"/>
      <c r="H101" s="147" t="s">
        <v>12</v>
      </c>
      <c r="I101" s="145"/>
      <c r="J101" s="145"/>
      <c r="K101" s="146"/>
      <c r="L101" s="51">
        <v>0</v>
      </c>
      <c r="M101" s="51">
        <v>0</v>
      </c>
      <c r="N101" s="51">
        <v>0</v>
      </c>
      <c r="O101" s="51">
        <f>IF(L101&gt;0,N101*100/L101,0)</f>
        <v>0</v>
      </c>
      <c r="P101" s="51">
        <f>IF(M101&gt;0,N101*100/M101,0)</f>
        <v>0</v>
      </c>
    </row>
    <row r="102" spans="1:16" ht="18.75" hidden="1" x14ac:dyDescent="0.25">
      <c r="A102" s="137"/>
      <c r="B102" s="42"/>
      <c r="C102" s="42"/>
      <c r="D102" s="42"/>
      <c r="E102" s="52" t="s">
        <v>19</v>
      </c>
      <c r="F102" s="42"/>
      <c r="G102" s="44"/>
      <c r="H102" s="148" t="s">
        <v>12</v>
      </c>
      <c r="I102" s="145"/>
      <c r="J102" s="145"/>
      <c r="K102" s="146"/>
      <c r="L102" s="48">
        <f ca="1">IFERROR(__xludf.DUMMYFUNCTION("IMPORTRANGE(""https://docs.google.com/spreadsheets/d/1-uDff_7J0KD5mKrp0Vvzr7lt3OU09vwQwhkpOPPYv2Y/edit?usp=sharing"",""งบพรบ!AZ83"")"),0)</f>
        <v>0</v>
      </c>
      <c r="M102" s="48">
        <f ca="1">IFERROR(__xludf.DUMMYFUNCTION("IMPORTRANGE(""https://docs.google.com/spreadsheets/d/1-uDff_7J0KD5mKrp0Vvzr7lt3OU09vwQwhkpOPPYv2Y/edit?usp=sharing"",""งบพรบ!BC83"")"),0)</f>
        <v>0</v>
      </c>
      <c r="N102" s="48">
        <f ca="1">IFERROR(__xludf.DUMMYFUNCTION("IMPORTRANGE(""https://docs.google.com/spreadsheets/d/1-uDff_7J0KD5mKrp0Vvzr7lt3OU09vwQwhkpOPPYv2Y/edit?usp=sharing"",""งบพรบ!BE83"")"),0)</f>
        <v>0</v>
      </c>
      <c r="O102" s="48">
        <f ca="1">IF(L102&gt;0,N102*100/L102,0)</f>
        <v>0</v>
      </c>
      <c r="P102" s="48">
        <f ca="1">IF(M102&gt;0,N102*100/M102,0)</f>
        <v>0</v>
      </c>
    </row>
    <row r="103" spans="1:16" ht="19.5" hidden="1" x14ac:dyDescent="0.3">
      <c r="A103" s="149"/>
      <c r="B103" s="150"/>
      <c r="C103" s="198" t="s">
        <v>16</v>
      </c>
      <c r="D103" s="473" t="s">
        <v>36</v>
      </c>
      <c r="E103" s="152"/>
      <c r="F103" s="152"/>
      <c r="G103" s="153"/>
      <c r="H103" s="154"/>
      <c r="I103" s="145"/>
      <c r="J103" s="46"/>
      <c r="K103" s="47"/>
      <c r="L103" s="47"/>
      <c r="M103" s="47"/>
      <c r="N103" s="47"/>
      <c r="O103" s="146"/>
      <c r="P103" s="146"/>
    </row>
    <row r="104" spans="1:16" ht="12.75" hidden="1" x14ac:dyDescent="0.2">
      <c r="A104" s="166"/>
      <c r="B104" s="167"/>
      <c r="C104" s="167"/>
      <c r="D104" s="17"/>
      <c r="E104" s="17"/>
      <c r="F104" s="17"/>
      <c r="G104" s="18"/>
      <c r="H104" s="18"/>
      <c r="I104" s="19"/>
      <c r="J104" s="19"/>
      <c r="K104" s="20"/>
      <c r="L104" s="20"/>
      <c r="M104" s="20"/>
      <c r="N104" s="20"/>
      <c r="O104" s="20"/>
      <c r="P104" s="20"/>
    </row>
    <row r="105" spans="1:16" ht="12.75" hidden="1" x14ac:dyDescent="0.2">
      <c r="A105" s="166"/>
      <c r="B105" s="167"/>
      <c r="C105" s="167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</row>
    <row r="106" spans="1:16" ht="12.75" hidden="1" x14ac:dyDescent="0.2">
      <c r="A106" s="166"/>
      <c r="B106" s="167"/>
      <c r="C106" s="167"/>
      <c r="D106" s="16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</row>
    <row r="107" spans="1:16" ht="19.5" hidden="1" x14ac:dyDescent="0.3">
      <c r="A107" s="149"/>
      <c r="B107" s="150"/>
      <c r="C107" s="150"/>
      <c r="D107" s="168" t="s">
        <v>45</v>
      </c>
      <c r="E107" s="169"/>
      <c r="F107" s="156"/>
      <c r="G107" s="154"/>
      <c r="H107" s="44"/>
      <c r="I107" s="46"/>
      <c r="J107" s="46"/>
      <c r="K107" s="47"/>
      <c r="L107" s="47"/>
      <c r="M107" s="47"/>
      <c r="N107" s="47"/>
      <c r="O107" s="146"/>
      <c r="P107" s="146"/>
    </row>
    <row r="108" spans="1:16" ht="18.75" hidden="1" x14ac:dyDescent="0.25">
      <c r="A108" s="149"/>
      <c r="B108" s="150"/>
      <c r="C108" s="150"/>
      <c r="D108" s="160" t="s">
        <v>46</v>
      </c>
      <c r="E108" s="156"/>
      <c r="F108" s="156"/>
      <c r="G108" s="154"/>
      <c r="H108" s="45" t="s">
        <v>44</v>
      </c>
      <c r="I108" s="170">
        <f ca="1">IFERROR(__xludf.DUMMYFUNCTION("IMPORTRANGE(""https://docs.google.com/spreadsheets/d/1eHaY18a8A9IcSdp1K8H6x8fbOy06t2VsZHhMHf-1x7Y/edit?usp=sharing"",""แผน!N83"")"),0)</f>
        <v>0</v>
      </c>
      <c r="J108" s="163">
        <v>0</v>
      </c>
      <c r="K108" s="48">
        <f ca="1">IF(I108&gt;0,J108*100/I108,0)</f>
        <v>0</v>
      </c>
      <c r="L108" s="47"/>
      <c r="M108" s="47"/>
      <c r="N108" s="47"/>
      <c r="O108" s="146"/>
      <c r="P108" s="146"/>
    </row>
    <row r="109" spans="1:16" ht="18.75" hidden="1" x14ac:dyDescent="0.25">
      <c r="A109" s="149"/>
      <c r="B109" s="150"/>
      <c r="C109" s="150"/>
      <c r="D109" s="160" t="s">
        <v>47</v>
      </c>
      <c r="E109" s="156"/>
      <c r="F109" s="156"/>
      <c r="G109" s="154"/>
      <c r="H109" s="45" t="s">
        <v>33</v>
      </c>
      <c r="I109" s="170">
        <f ca="1">IFERROR(__xludf.DUMMYFUNCTION("IMPORTRANGE(""https://docs.google.com/spreadsheets/d/1eHaY18a8A9IcSdp1K8H6x8fbOy06t2VsZHhMHf-1x7Y/edit?usp=sharing"",""แผน!O83"")"),0)</f>
        <v>0</v>
      </c>
      <c r="J109" s="163">
        <v>0</v>
      </c>
      <c r="K109" s="48">
        <f ca="1">IF(I109&gt;0,J109*100/I109,0)</f>
        <v>0</v>
      </c>
      <c r="L109" s="47"/>
      <c r="M109" s="47"/>
      <c r="N109" s="47"/>
      <c r="O109" s="146"/>
      <c r="P109" s="146"/>
    </row>
    <row r="110" spans="1:16" ht="12.75" hidden="1" x14ac:dyDescent="0.2">
      <c r="A110" s="166"/>
      <c r="B110" s="167"/>
      <c r="C110" s="167"/>
      <c r="D110" s="17"/>
      <c r="E110" s="17"/>
      <c r="F110" s="17"/>
      <c r="G110" s="18"/>
      <c r="H110" s="18"/>
      <c r="I110" s="19"/>
      <c r="J110" s="19"/>
      <c r="K110" s="20"/>
      <c r="L110" s="20"/>
      <c r="M110" s="20"/>
      <c r="N110" s="20"/>
      <c r="O110" s="20"/>
      <c r="P110" s="20"/>
    </row>
    <row r="111" spans="1:16" ht="12.75" hidden="1" x14ac:dyDescent="0.2">
      <c r="A111" s="166"/>
      <c r="B111" s="167"/>
      <c r="C111" s="167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</row>
    <row r="112" spans="1:16" ht="12.75" hidden="1" x14ac:dyDescent="0.2">
      <c r="A112" s="166"/>
      <c r="B112" s="167"/>
      <c r="C112" s="167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</row>
    <row r="113" spans="1:16" ht="12.75" hidden="1" x14ac:dyDescent="0.2">
      <c r="A113" s="166"/>
      <c r="B113" s="167"/>
      <c r="C113" s="167"/>
      <c r="D113" s="17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</row>
    <row r="114" spans="1:16" ht="12.75" hidden="1" x14ac:dyDescent="0.2">
      <c r="A114" s="166"/>
      <c r="B114" s="167"/>
      <c r="C114" s="167"/>
      <c r="D114" s="17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</row>
    <row r="115" spans="1:16" ht="12.75" hidden="1" x14ac:dyDescent="0.2">
      <c r="A115" s="166"/>
      <c r="B115" s="167"/>
      <c r="C115" s="167"/>
      <c r="D115" s="17"/>
      <c r="E115" s="17"/>
      <c r="F115" s="17"/>
      <c r="G115" s="18"/>
      <c r="H115" s="18"/>
      <c r="I115" s="19"/>
      <c r="J115" s="19"/>
      <c r="K115" s="20"/>
      <c r="L115" s="20"/>
      <c r="M115" s="20"/>
      <c r="N115" s="20"/>
      <c r="O115" s="20"/>
      <c r="P115" s="20"/>
    </row>
    <row r="116" spans="1:16" ht="12.75" hidden="1" x14ac:dyDescent="0.2">
      <c r="A116" s="166"/>
      <c r="B116" s="167"/>
      <c r="C116" s="167"/>
      <c r="D116" s="17"/>
      <c r="E116" s="17"/>
      <c r="F116" s="17"/>
      <c r="G116" s="18"/>
      <c r="H116" s="18"/>
      <c r="I116" s="19"/>
      <c r="J116" s="19"/>
      <c r="K116" s="20"/>
      <c r="L116" s="20"/>
      <c r="M116" s="20"/>
      <c r="N116" s="20"/>
      <c r="O116" s="20"/>
      <c r="P116" s="20"/>
    </row>
    <row r="117" spans="1:16" ht="18.75" hidden="1" x14ac:dyDescent="0.25">
      <c r="A117" s="149"/>
      <c r="B117" s="150"/>
      <c r="C117" s="150"/>
      <c r="D117" s="160" t="s">
        <v>48</v>
      </c>
      <c r="E117" s="156"/>
      <c r="F117" s="156"/>
      <c r="G117" s="154"/>
      <c r="H117" s="251" t="s">
        <v>33</v>
      </c>
      <c r="I117" s="162">
        <f ca="1">IFERROR(__xludf.DUMMYFUNCTION("IMPORTRANGE(""https://docs.google.com/spreadsheets/d/1eHaY18a8A9IcSdp1K8H6x8fbOy06t2VsZHhMHf-1x7Y/edit?usp=sharing"",""แผน!R83"")"),0)</f>
        <v>0</v>
      </c>
      <c r="J117" s="163">
        <v>0</v>
      </c>
      <c r="K117" s="48">
        <f ca="1">IF(I117&gt;0,J117*100/I117,0)</f>
        <v>0</v>
      </c>
      <c r="L117" s="47"/>
      <c r="M117" s="47"/>
      <c r="N117" s="47"/>
      <c r="O117" s="146"/>
      <c r="P117" s="146"/>
    </row>
    <row r="118" spans="1:16" ht="12.75" hidden="1" x14ac:dyDescent="0.2">
      <c r="A118" s="166"/>
      <c r="B118" s="167"/>
      <c r="C118" s="167"/>
      <c r="D118" s="167"/>
      <c r="E118" s="17"/>
      <c r="F118" s="17"/>
      <c r="G118" s="18"/>
      <c r="H118" s="18"/>
      <c r="I118" s="19"/>
      <c r="J118" s="19"/>
      <c r="K118" s="20"/>
      <c r="L118" s="20"/>
      <c r="M118" s="20"/>
      <c r="N118" s="20"/>
      <c r="O118" s="20"/>
      <c r="P118" s="20"/>
    </row>
    <row r="119" spans="1:16" ht="12.75" hidden="1" x14ac:dyDescent="0.2">
      <c r="A119" s="166"/>
      <c r="B119" s="167"/>
      <c r="C119" s="167"/>
      <c r="D119" s="167"/>
      <c r="E119" s="17"/>
      <c r="F119" s="17"/>
      <c r="G119" s="18"/>
      <c r="H119" s="18"/>
      <c r="I119" s="19"/>
      <c r="J119" s="19"/>
      <c r="K119" s="20"/>
      <c r="L119" s="20"/>
      <c r="M119" s="20"/>
      <c r="N119" s="20"/>
      <c r="O119" s="20"/>
      <c r="P119" s="20"/>
    </row>
    <row r="120" spans="1:16" ht="12.75" hidden="1" x14ac:dyDescent="0.2">
      <c r="A120" s="166"/>
      <c r="B120" s="167"/>
      <c r="C120" s="167"/>
      <c r="D120" s="167"/>
      <c r="E120" s="17"/>
      <c r="F120" s="17"/>
      <c r="G120" s="18"/>
      <c r="H120" s="18"/>
      <c r="I120" s="19"/>
      <c r="J120" s="19"/>
      <c r="K120" s="20"/>
      <c r="L120" s="20"/>
      <c r="M120" s="20"/>
      <c r="N120" s="20"/>
      <c r="O120" s="20"/>
      <c r="P120" s="20"/>
    </row>
    <row r="121" spans="1:16" ht="12.75" hidden="1" x14ac:dyDescent="0.2">
      <c r="A121" s="166"/>
      <c r="B121" s="167"/>
      <c r="C121" s="167"/>
      <c r="D121" s="167"/>
      <c r="E121" s="17"/>
      <c r="F121" s="17"/>
      <c r="G121" s="18"/>
      <c r="H121" s="18"/>
      <c r="I121" s="19"/>
      <c r="J121" s="19"/>
      <c r="K121" s="20"/>
      <c r="L121" s="20"/>
      <c r="M121" s="20"/>
      <c r="N121" s="20"/>
      <c r="O121" s="20"/>
      <c r="P121" s="20"/>
    </row>
    <row r="122" spans="1:16" ht="12.75" hidden="1" x14ac:dyDescent="0.2">
      <c r="A122" s="166"/>
      <c r="B122" s="167"/>
      <c r="C122" s="167"/>
      <c r="D122" s="167"/>
      <c r="E122" s="17"/>
      <c r="F122" s="17"/>
      <c r="G122" s="18"/>
      <c r="H122" s="18"/>
      <c r="I122" s="19"/>
      <c r="J122" s="19"/>
      <c r="K122" s="20"/>
      <c r="L122" s="20"/>
      <c r="M122" s="20"/>
      <c r="N122" s="20"/>
      <c r="O122" s="20"/>
      <c r="P122" s="20"/>
    </row>
    <row r="123" spans="1:16" ht="19.5" hidden="1" x14ac:dyDescent="0.3">
      <c r="A123" s="171" t="s">
        <v>49</v>
      </c>
      <c r="B123" s="17"/>
      <c r="C123" s="172"/>
      <c r="D123" s="17"/>
      <c r="E123" s="17"/>
      <c r="F123" s="17"/>
      <c r="G123" s="17"/>
      <c r="H123" s="17"/>
      <c r="I123" s="173"/>
      <c r="J123" s="173"/>
      <c r="K123" s="174"/>
      <c r="L123" s="20"/>
      <c r="M123" s="20"/>
      <c r="N123" s="20"/>
      <c r="O123" s="20"/>
      <c r="P123" s="20"/>
    </row>
    <row r="124" spans="1:16" ht="19.5" hidden="1" x14ac:dyDescent="0.3">
      <c r="A124" s="175"/>
      <c r="B124" s="179" t="s">
        <v>50</v>
      </c>
      <c r="C124" s="172"/>
      <c r="D124" s="167"/>
      <c r="E124" s="17"/>
      <c r="F124" s="17"/>
      <c r="G124" s="18"/>
      <c r="H124" s="18"/>
      <c r="I124" s="177">
        <v>0</v>
      </c>
      <c r="J124" s="177">
        <v>0</v>
      </c>
      <c r="K124" s="178">
        <v>0</v>
      </c>
      <c r="L124" s="20"/>
      <c r="M124" s="20"/>
      <c r="N124" s="20"/>
      <c r="O124" s="20"/>
      <c r="P124" s="20"/>
    </row>
    <row r="125" spans="1:16" ht="19.5" hidden="1" x14ac:dyDescent="0.3">
      <c r="A125" s="175"/>
      <c r="B125" s="17"/>
      <c r="C125" s="179" t="s">
        <v>16</v>
      </c>
      <c r="D125" s="480" t="s">
        <v>17</v>
      </c>
      <c r="E125" s="17"/>
      <c r="F125" s="17"/>
      <c r="G125" s="18"/>
      <c r="H125" s="181" t="s">
        <v>12</v>
      </c>
      <c r="I125" s="19"/>
      <c r="J125" s="19"/>
      <c r="K125" s="20"/>
      <c r="L125" s="182">
        <f ca="1">L126+L127</f>
        <v>0</v>
      </c>
      <c r="M125" s="182">
        <f ca="1">M126+M127</f>
        <v>0</v>
      </c>
      <c r="N125" s="182">
        <f ca="1">N126+N127</f>
        <v>0</v>
      </c>
      <c r="O125" s="182">
        <f ca="1">IF(L125&gt;0,N125*100/L125,0)</f>
        <v>0</v>
      </c>
      <c r="P125" s="182">
        <f ca="1">IF(M125&gt;0,N125*100/M125,0)</f>
        <v>0</v>
      </c>
    </row>
    <row r="126" spans="1:16" ht="18.75" hidden="1" x14ac:dyDescent="0.25">
      <c r="A126" s="175"/>
      <c r="B126" s="17"/>
      <c r="C126" s="17"/>
      <c r="D126" s="17"/>
      <c r="E126" s="183" t="s">
        <v>18</v>
      </c>
      <c r="F126" s="17"/>
      <c r="G126" s="18"/>
      <c r="H126" s="184" t="s">
        <v>12</v>
      </c>
      <c r="I126" s="19"/>
      <c r="J126" s="19"/>
      <c r="K126" s="20"/>
      <c r="L126" s="185">
        <f>L129+L132</f>
        <v>0</v>
      </c>
      <c r="M126" s="185">
        <f>M129+M132</f>
        <v>0</v>
      </c>
      <c r="N126" s="185">
        <f>N129+N132</f>
        <v>0</v>
      </c>
      <c r="O126" s="185">
        <f>IF(L126&gt;0,N126*100/L126,0)</f>
        <v>0</v>
      </c>
      <c r="P126" s="185">
        <f>IF(M126&gt;0,N126*100/M126,0)</f>
        <v>0</v>
      </c>
    </row>
    <row r="127" spans="1:16" ht="18.75" hidden="1" x14ac:dyDescent="0.25">
      <c r="A127" s="175"/>
      <c r="B127" s="17"/>
      <c r="C127" s="17"/>
      <c r="D127" s="17"/>
      <c r="E127" s="186" t="s">
        <v>19</v>
      </c>
      <c r="F127" s="17"/>
      <c r="G127" s="18"/>
      <c r="H127" s="187" t="s">
        <v>12</v>
      </c>
      <c r="I127" s="19"/>
      <c r="J127" s="19"/>
      <c r="K127" s="20"/>
      <c r="L127" s="178">
        <f ca="1">L130+L133</f>
        <v>0</v>
      </c>
      <c r="M127" s="178">
        <f ca="1">M130+M133</f>
        <v>0</v>
      </c>
      <c r="N127" s="178">
        <f ca="1">N130+N133</f>
        <v>0</v>
      </c>
      <c r="O127" s="178">
        <f ca="1">IF(L127&gt;0,N127*100/L127,0)</f>
        <v>0</v>
      </c>
      <c r="P127" s="178">
        <f ca="1">IF(M127&gt;0,N127*100/M127,0)</f>
        <v>0</v>
      </c>
    </row>
    <row r="128" spans="1:16" ht="18.75" hidden="1" x14ac:dyDescent="0.25">
      <c r="A128" s="175"/>
      <c r="B128" s="17"/>
      <c r="C128" s="17"/>
      <c r="D128" s="479" t="s">
        <v>20</v>
      </c>
      <c r="E128" s="17"/>
      <c r="F128" s="17"/>
      <c r="G128" s="18"/>
      <c r="H128" s="189" t="s">
        <v>12</v>
      </c>
      <c r="I128" s="19"/>
      <c r="J128" s="19"/>
      <c r="K128" s="20"/>
      <c r="L128" s="178">
        <f ca="1">L129+L130</f>
        <v>0</v>
      </c>
      <c r="M128" s="178">
        <f ca="1">M129+M130</f>
        <v>0</v>
      </c>
      <c r="N128" s="178">
        <f ca="1">N129+N130</f>
        <v>0</v>
      </c>
      <c r="O128" s="178">
        <f ca="1">IF(L128&gt;0,N128*100/L128,0)</f>
        <v>0</v>
      </c>
      <c r="P128" s="178">
        <f ca="1">IF(M128&gt;0,N128*100/M128,0)</f>
        <v>0</v>
      </c>
    </row>
    <row r="129" spans="1:16" ht="18.75" hidden="1" x14ac:dyDescent="0.25">
      <c r="A129" s="175"/>
      <c r="B129" s="17"/>
      <c r="C129" s="17"/>
      <c r="D129" s="17"/>
      <c r="E129" s="183" t="s">
        <v>34</v>
      </c>
      <c r="F129" s="17"/>
      <c r="G129" s="18"/>
      <c r="H129" s="190" t="s">
        <v>12</v>
      </c>
      <c r="I129" s="19"/>
      <c r="J129" s="19"/>
      <c r="K129" s="20"/>
      <c r="L129" s="185">
        <v>0</v>
      </c>
      <c r="M129" s="185">
        <v>0</v>
      </c>
      <c r="N129" s="185">
        <v>0</v>
      </c>
      <c r="O129" s="185">
        <f>IF(L129&gt;0,N129*100/L129,0)</f>
        <v>0</v>
      </c>
      <c r="P129" s="185">
        <f>IF(M129&gt;0,N129*100/M129,0)</f>
        <v>0</v>
      </c>
    </row>
    <row r="130" spans="1:16" ht="18.75" hidden="1" x14ac:dyDescent="0.25">
      <c r="A130" s="175"/>
      <c r="B130" s="17"/>
      <c r="C130" s="17"/>
      <c r="D130" s="17"/>
      <c r="E130" s="186" t="s">
        <v>35</v>
      </c>
      <c r="F130" s="17"/>
      <c r="G130" s="18"/>
      <c r="H130" s="189" t="s">
        <v>12</v>
      </c>
      <c r="I130" s="19"/>
      <c r="J130" s="19"/>
      <c r="K130" s="20"/>
      <c r="L130" s="178">
        <f ca="1">IFERROR(__xludf.DUMMYFUNCTION("IMPORTRANGE(""https://docs.google.com/spreadsheets/d/1-uDff_7J0KD5mKrp0Vvzr7lt3OU09vwQwhkpOPPYv2Y/edit?usp=sharing"",""งบพรบ!BG83"")"),0)</f>
        <v>0</v>
      </c>
      <c r="M130" s="178">
        <f ca="1">IFERROR(__xludf.DUMMYFUNCTION("IMPORTRANGE(""https://docs.google.com/spreadsheets/d/1-uDff_7J0KD5mKrp0Vvzr7lt3OU09vwQwhkpOPPYv2Y/edit?usp=sharing"",""งบพรบ!BL83"")"),0)</f>
        <v>0</v>
      </c>
      <c r="N130" s="178">
        <f ca="1">IFERROR(__xludf.DUMMYFUNCTION("IMPORTRANGE(""https://docs.google.com/spreadsheets/d/1-uDff_7J0KD5mKrp0Vvzr7lt3OU09vwQwhkpOPPYv2Y/edit?usp=sharing"",""งบพรบ!BN83"")"),0)</f>
        <v>0</v>
      </c>
      <c r="O130" s="178">
        <f ca="1">IF(L130&gt;0,N130*100/L130,0)</f>
        <v>0</v>
      </c>
      <c r="P130" s="178">
        <f ca="1">IF(M130&gt;0,N130*100/M130,0)</f>
        <v>0</v>
      </c>
    </row>
    <row r="131" spans="1:16" ht="18.75" hidden="1" x14ac:dyDescent="0.25">
      <c r="A131" s="175"/>
      <c r="B131" s="17"/>
      <c r="C131" s="17"/>
      <c r="D131" s="479" t="s">
        <v>21</v>
      </c>
      <c r="E131" s="17"/>
      <c r="F131" s="17"/>
      <c r="G131" s="18"/>
      <c r="H131" s="187" t="s">
        <v>12</v>
      </c>
      <c r="I131" s="19"/>
      <c r="J131" s="19"/>
      <c r="K131" s="20"/>
      <c r="L131" s="178">
        <f ca="1">L132+L133</f>
        <v>0</v>
      </c>
      <c r="M131" s="178">
        <f ca="1">M132+M133</f>
        <v>0</v>
      </c>
      <c r="N131" s="178">
        <f ca="1">N132+N133</f>
        <v>0</v>
      </c>
      <c r="O131" s="178">
        <f ca="1">IF(L131&gt;0,N131*100/L131,0)</f>
        <v>0</v>
      </c>
      <c r="P131" s="178">
        <f ca="1">IF(M131&gt;0,N131*100/M131,0)</f>
        <v>0</v>
      </c>
    </row>
    <row r="132" spans="1:16" ht="18.75" hidden="1" x14ac:dyDescent="0.25">
      <c r="A132" s="175"/>
      <c r="B132" s="17"/>
      <c r="C132" s="17"/>
      <c r="D132" s="17"/>
      <c r="E132" s="183" t="s">
        <v>18</v>
      </c>
      <c r="F132" s="17"/>
      <c r="G132" s="18"/>
      <c r="H132" s="190" t="s">
        <v>12</v>
      </c>
      <c r="I132" s="19"/>
      <c r="J132" s="19"/>
      <c r="K132" s="20"/>
      <c r="L132" s="185">
        <v>0</v>
      </c>
      <c r="M132" s="185">
        <v>0</v>
      </c>
      <c r="N132" s="185">
        <v>0</v>
      </c>
      <c r="O132" s="185">
        <f>IF(L132&gt;0,N132*100/L132,0)</f>
        <v>0</v>
      </c>
      <c r="P132" s="185">
        <f>IF(M132&gt;0,N132*100/M132,0)</f>
        <v>0</v>
      </c>
    </row>
    <row r="133" spans="1:16" ht="18.75" hidden="1" x14ac:dyDescent="0.25">
      <c r="A133" s="175"/>
      <c r="B133" s="17"/>
      <c r="C133" s="17"/>
      <c r="D133" s="17"/>
      <c r="E133" s="186" t="s">
        <v>19</v>
      </c>
      <c r="F133" s="17"/>
      <c r="G133" s="18"/>
      <c r="H133" s="187" t="s">
        <v>12</v>
      </c>
      <c r="I133" s="19"/>
      <c r="J133" s="19"/>
      <c r="K133" s="20"/>
      <c r="L133" s="178">
        <f ca="1">IFERROR(__xludf.DUMMYFUNCTION("IMPORTRANGE(""https://docs.google.com/spreadsheets/d/1-uDff_7J0KD5mKrp0Vvzr7lt3OU09vwQwhkpOPPYv2Y/edit?usp=sharing"",""งบพรบ!BJ83"")"),0)</f>
        <v>0</v>
      </c>
      <c r="M133" s="178">
        <f ca="1">IFERROR(__xludf.DUMMYFUNCTION("IMPORTRANGE(""https://docs.google.com/spreadsheets/d/1-uDff_7J0KD5mKrp0Vvzr7lt3OU09vwQwhkpOPPYv2Y/edit?usp=sharing"",""งบพรบ!BM83"")"),0)</f>
        <v>0</v>
      </c>
      <c r="N133" s="178">
        <f ca="1">IFERROR(__xludf.DUMMYFUNCTION("IMPORTRANGE(""https://docs.google.com/spreadsheets/d/1-uDff_7J0KD5mKrp0Vvzr7lt3OU09vwQwhkpOPPYv2Y/edit?usp=sharing"",""งบพรบ!BO83"")"),0)</f>
        <v>0</v>
      </c>
      <c r="O133" s="178">
        <f ca="1">IF(L133&gt;0,N133*100/L133,0)</f>
        <v>0</v>
      </c>
      <c r="P133" s="178">
        <f ca="1">IF(M133&gt;0,N133*100/M133,0)</f>
        <v>0</v>
      </c>
    </row>
    <row r="134" spans="1:16" ht="19.5" hidden="1" x14ac:dyDescent="0.3">
      <c r="A134" s="126" t="s">
        <v>51</v>
      </c>
      <c r="B134" s="127"/>
      <c r="C134" s="191"/>
      <c r="D134" s="127"/>
      <c r="E134" s="127"/>
      <c r="F134" s="127"/>
      <c r="G134" s="127"/>
      <c r="H134" s="127"/>
      <c r="I134" s="192"/>
      <c r="J134" s="192"/>
      <c r="K134" s="193"/>
      <c r="L134" s="131"/>
      <c r="M134" s="131"/>
      <c r="N134" s="131"/>
      <c r="O134" s="131"/>
      <c r="P134" s="131"/>
    </row>
    <row r="135" spans="1:16" ht="19.5" hidden="1" x14ac:dyDescent="0.3">
      <c r="A135" s="132"/>
      <c r="B135" s="133" t="s">
        <v>52</v>
      </c>
      <c r="C135" s="194"/>
      <c r="D135" s="134"/>
      <c r="E135" s="27"/>
      <c r="F135" s="27"/>
      <c r="G135" s="27"/>
      <c r="H135" s="27"/>
      <c r="I135" s="195"/>
      <c r="J135" s="32"/>
      <c r="K135" s="33"/>
      <c r="L135" s="33"/>
      <c r="M135" s="33"/>
      <c r="N135" s="33"/>
      <c r="O135" s="33"/>
      <c r="P135" s="33"/>
    </row>
    <row r="136" spans="1:16" ht="19.5" hidden="1" x14ac:dyDescent="0.3">
      <c r="A136" s="132"/>
      <c r="B136" s="27"/>
      <c r="C136" s="196" t="s">
        <v>53</v>
      </c>
      <c r="D136" s="134"/>
      <c r="E136" s="27"/>
      <c r="F136" s="27"/>
      <c r="G136" s="30"/>
      <c r="H136" s="135" t="s">
        <v>54</v>
      </c>
      <c r="I136" s="136">
        <f ca="1">I154</f>
        <v>0</v>
      </c>
      <c r="J136" s="136">
        <f>J154</f>
        <v>0</v>
      </c>
      <c r="K136" s="34">
        <f ca="1">IF(I136&gt;0,J136*100/I136,0)</f>
        <v>0</v>
      </c>
      <c r="L136" s="33"/>
      <c r="M136" s="33"/>
      <c r="N136" s="33"/>
      <c r="O136" s="33"/>
      <c r="P136" s="33"/>
    </row>
    <row r="137" spans="1:16" ht="19.5" hidden="1" x14ac:dyDescent="0.3">
      <c r="A137" s="132"/>
      <c r="B137" s="27"/>
      <c r="C137" s="196" t="s">
        <v>55</v>
      </c>
      <c r="D137" s="134"/>
      <c r="E137" s="27"/>
      <c r="F137" s="27"/>
      <c r="G137" s="30"/>
      <c r="H137" s="135" t="s">
        <v>33</v>
      </c>
      <c r="I137" s="136">
        <f ca="1">I152</f>
        <v>0</v>
      </c>
      <c r="J137" s="136">
        <f>J152</f>
        <v>0</v>
      </c>
      <c r="K137" s="34">
        <f ca="1">IF(I137&gt;0,J137*100/I137,0)</f>
        <v>0</v>
      </c>
      <c r="L137" s="33"/>
      <c r="M137" s="33"/>
      <c r="N137" s="33"/>
      <c r="O137" s="33"/>
      <c r="P137" s="33"/>
    </row>
    <row r="138" spans="1:16" ht="19.5" hidden="1" x14ac:dyDescent="0.3">
      <c r="A138" s="132"/>
      <c r="B138" s="27"/>
      <c r="C138" s="194"/>
      <c r="D138" s="134"/>
      <c r="E138" s="27"/>
      <c r="F138" s="27"/>
      <c r="G138" s="30"/>
      <c r="H138" s="135" t="s">
        <v>56</v>
      </c>
      <c r="I138" s="136">
        <f ca="1">I153</f>
        <v>0</v>
      </c>
      <c r="J138" s="136">
        <f>J153</f>
        <v>0</v>
      </c>
      <c r="K138" s="34">
        <f ca="1">IF(I138&gt;0,J138*100/I138,0)</f>
        <v>0</v>
      </c>
      <c r="L138" s="33"/>
      <c r="M138" s="33"/>
      <c r="N138" s="33"/>
      <c r="O138" s="33"/>
      <c r="P138" s="33"/>
    </row>
    <row r="139" spans="1:16" ht="19.5" hidden="1" x14ac:dyDescent="0.3">
      <c r="A139" s="137"/>
      <c r="B139" s="42"/>
      <c r="C139" s="198" t="s">
        <v>16</v>
      </c>
      <c r="D139" s="475" t="s">
        <v>17</v>
      </c>
      <c r="E139" s="42"/>
      <c r="F139" s="42"/>
      <c r="G139" s="44"/>
      <c r="H139" s="140" t="s">
        <v>12</v>
      </c>
      <c r="I139" s="46"/>
      <c r="J139" s="46"/>
      <c r="K139" s="47"/>
      <c r="L139" s="141">
        <f ca="1">L140+L141</f>
        <v>0</v>
      </c>
      <c r="M139" s="141">
        <f ca="1">M140+M141</f>
        <v>0</v>
      </c>
      <c r="N139" s="141">
        <f ca="1">N140+N141</f>
        <v>0</v>
      </c>
      <c r="O139" s="141">
        <f ca="1">IF(L139&gt;0,N139*100/L139,0)</f>
        <v>0</v>
      </c>
      <c r="P139" s="141">
        <f ca="1">IF(M139&gt;0,N139*100/M139,0)</f>
        <v>0</v>
      </c>
    </row>
    <row r="140" spans="1:16" ht="18.75" hidden="1" x14ac:dyDescent="0.25">
      <c r="A140" s="137"/>
      <c r="B140" s="42"/>
      <c r="C140" s="42"/>
      <c r="D140" s="42"/>
      <c r="E140" s="296" t="s">
        <v>18</v>
      </c>
      <c r="F140" s="42"/>
      <c r="G140" s="44"/>
      <c r="H140" s="142" t="s">
        <v>12</v>
      </c>
      <c r="I140" s="46"/>
      <c r="J140" s="46"/>
      <c r="K140" s="47"/>
      <c r="L140" s="51">
        <f>L143+L146</f>
        <v>0</v>
      </c>
      <c r="M140" s="51">
        <f>M143+M146</f>
        <v>0</v>
      </c>
      <c r="N140" s="51">
        <f>N143+N146</f>
        <v>0</v>
      </c>
      <c r="O140" s="51">
        <f>IF(L140&gt;0,N140*100/L140,0)</f>
        <v>0</v>
      </c>
      <c r="P140" s="51">
        <f>IF(M140&gt;0,N140*100/M140,0)</f>
        <v>0</v>
      </c>
    </row>
    <row r="141" spans="1:16" ht="18.75" hidden="1" x14ac:dyDescent="0.25">
      <c r="A141" s="137"/>
      <c r="B141" s="42"/>
      <c r="C141" s="42"/>
      <c r="D141" s="42"/>
      <c r="E141" s="52" t="s">
        <v>19</v>
      </c>
      <c r="F141" s="42"/>
      <c r="G141" s="44"/>
      <c r="H141" s="143" t="s">
        <v>12</v>
      </c>
      <c r="I141" s="46"/>
      <c r="J141" s="46"/>
      <c r="K141" s="47"/>
      <c r="L141" s="48">
        <f ca="1">L144+L147</f>
        <v>0</v>
      </c>
      <c r="M141" s="48">
        <f ca="1">M144+M147</f>
        <v>0</v>
      </c>
      <c r="N141" s="48">
        <f ca="1">N144+N147</f>
        <v>0</v>
      </c>
      <c r="O141" s="48">
        <f ca="1">IF(L141&gt;0,N141*100/L141,0)</f>
        <v>0</v>
      </c>
      <c r="P141" s="48">
        <f ca="1">IF(M141&gt;0,N141*100/M141,0)</f>
        <v>0</v>
      </c>
    </row>
    <row r="142" spans="1:16" ht="18.75" hidden="1" x14ac:dyDescent="0.25">
      <c r="A142" s="137"/>
      <c r="B142" s="42"/>
      <c r="C142" s="42"/>
      <c r="D142" s="43" t="s">
        <v>20</v>
      </c>
      <c r="E142" s="42"/>
      <c r="F142" s="42"/>
      <c r="G142" s="44"/>
      <c r="H142" s="144" t="s">
        <v>12</v>
      </c>
      <c r="I142" s="145"/>
      <c r="J142" s="145"/>
      <c r="K142" s="146"/>
      <c r="L142" s="48">
        <f ca="1">L143+L144</f>
        <v>0</v>
      </c>
      <c r="M142" s="48">
        <f ca="1">M143+M144</f>
        <v>0</v>
      </c>
      <c r="N142" s="48">
        <f ca="1">N143+N144</f>
        <v>0</v>
      </c>
      <c r="O142" s="48">
        <f ca="1">IF(L142&gt;0,N142*100/L142,0)</f>
        <v>0</v>
      </c>
      <c r="P142" s="48">
        <f ca="1">IF(M142&gt;0,N142*100/M142,0)</f>
        <v>0</v>
      </c>
    </row>
    <row r="143" spans="1:16" ht="18.75" hidden="1" x14ac:dyDescent="0.25">
      <c r="A143" s="137"/>
      <c r="B143" s="42"/>
      <c r="C143" s="42"/>
      <c r="D143" s="42"/>
      <c r="E143" s="296" t="s">
        <v>34</v>
      </c>
      <c r="F143" s="42"/>
      <c r="G143" s="44"/>
      <c r="H143" s="147" t="s">
        <v>12</v>
      </c>
      <c r="I143" s="145"/>
      <c r="J143" s="145"/>
      <c r="K143" s="146"/>
      <c r="L143" s="51">
        <v>0</v>
      </c>
      <c r="M143" s="51">
        <v>0</v>
      </c>
      <c r="N143" s="51">
        <v>0</v>
      </c>
      <c r="O143" s="51">
        <f>IF(L143&gt;0,N143*100/L143,0)</f>
        <v>0</v>
      </c>
      <c r="P143" s="51">
        <f>IF(M143&gt;0,N143*100/M143,0)</f>
        <v>0</v>
      </c>
    </row>
    <row r="144" spans="1:16" ht="18.75" hidden="1" x14ac:dyDescent="0.25">
      <c r="A144" s="137"/>
      <c r="B144" s="42"/>
      <c r="C144" s="42"/>
      <c r="D144" s="42"/>
      <c r="E144" s="52" t="s">
        <v>35</v>
      </c>
      <c r="F144" s="42"/>
      <c r="G144" s="44"/>
      <c r="H144" s="144" t="s">
        <v>12</v>
      </c>
      <c r="I144" s="145"/>
      <c r="J144" s="145"/>
      <c r="K144" s="146"/>
      <c r="L144" s="48">
        <f ca="1">IFERROR(__xludf.DUMMYFUNCTION("IMPORTRANGE(""https://docs.google.com/spreadsheets/d/1-uDff_7J0KD5mKrp0Vvzr7lt3OU09vwQwhkpOPPYv2Y/edit?usp=sharing"",""งบพรบ!BQ83"")"),0)</f>
        <v>0</v>
      </c>
      <c r="M144" s="48">
        <f ca="1">IFERROR(__xludf.DUMMYFUNCTION("IMPORTRANGE(""https://docs.google.com/spreadsheets/d/1-uDff_7J0KD5mKrp0Vvzr7lt3OU09vwQwhkpOPPYv2Y/edit?usp=sharing"",""งบพรบ!BV83"")"),0)</f>
        <v>0</v>
      </c>
      <c r="N144" s="48">
        <f ca="1">IFERROR(__xludf.DUMMYFUNCTION("IMPORTRANGE(""https://docs.google.com/spreadsheets/d/1-uDff_7J0KD5mKrp0Vvzr7lt3OU09vwQwhkpOPPYv2Y/edit?usp=sharing"",""งบพรบ!BX83"")"),0)</f>
        <v>0</v>
      </c>
      <c r="O144" s="48">
        <f ca="1">IF(L144&gt;0,N144*100/L144,0)</f>
        <v>0</v>
      </c>
      <c r="P144" s="48">
        <f ca="1">IF(M144&gt;0,N144*100/M144,0)</f>
        <v>0</v>
      </c>
    </row>
    <row r="145" spans="1:16" ht="18.75" hidden="1" x14ac:dyDescent="0.25">
      <c r="A145" s="137"/>
      <c r="B145" s="42"/>
      <c r="C145" s="42"/>
      <c r="D145" s="43" t="s">
        <v>21</v>
      </c>
      <c r="E145" s="42"/>
      <c r="F145" s="42"/>
      <c r="G145" s="44"/>
      <c r="H145" s="148" t="s">
        <v>12</v>
      </c>
      <c r="I145" s="145"/>
      <c r="J145" s="145"/>
      <c r="K145" s="146"/>
      <c r="L145" s="48">
        <f ca="1">L146+L147</f>
        <v>0</v>
      </c>
      <c r="M145" s="48">
        <f ca="1">M146+M147</f>
        <v>0</v>
      </c>
      <c r="N145" s="48">
        <f ca="1">N146+N147</f>
        <v>0</v>
      </c>
      <c r="O145" s="48">
        <f ca="1">IF(L145&gt;0,N145*100/L145,0)</f>
        <v>0</v>
      </c>
      <c r="P145" s="48">
        <f ca="1">IF(M145&gt;0,N145*100/M145,0)</f>
        <v>0</v>
      </c>
    </row>
    <row r="146" spans="1:16" ht="18.75" hidden="1" x14ac:dyDescent="0.25">
      <c r="A146" s="137"/>
      <c r="B146" s="42"/>
      <c r="C146" s="42"/>
      <c r="D146" s="42"/>
      <c r="E146" s="296" t="s">
        <v>18</v>
      </c>
      <c r="F146" s="42"/>
      <c r="G146" s="44"/>
      <c r="H146" s="147" t="s">
        <v>12</v>
      </c>
      <c r="I146" s="145"/>
      <c r="J146" s="145"/>
      <c r="K146" s="146"/>
      <c r="L146" s="51">
        <v>0</v>
      </c>
      <c r="M146" s="51">
        <v>0</v>
      </c>
      <c r="N146" s="51">
        <v>0</v>
      </c>
      <c r="O146" s="51">
        <f>IF(L146&gt;0,N146*100/L146,0)</f>
        <v>0</v>
      </c>
      <c r="P146" s="51">
        <f>IF(M146&gt;0,N146*100/M146,0)</f>
        <v>0</v>
      </c>
    </row>
    <row r="147" spans="1:16" ht="18.75" hidden="1" x14ac:dyDescent="0.25">
      <c r="A147" s="137"/>
      <c r="B147" s="42"/>
      <c r="C147" s="42"/>
      <c r="D147" s="42"/>
      <c r="E147" s="52" t="s">
        <v>19</v>
      </c>
      <c r="F147" s="42"/>
      <c r="G147" s="44"/>
      <c r="H147" s="148" t="s">
        <v>12</v>
      </c>
      <c r="I147" s="145"/>
      <c r="J147" s="145"/>
      <c r="K147" s="146"/>
      <c r="L147" s="48">
        <f ca="1">IFERROR(__xludf.DUMMYFUNCTION("IMPORTRANGE(""https://docs.google.com/spreadsheets/d/1-uDff_7J0KD5mKrp0Vvzr7lt3OU09vwQwhkpOPPYv2Y/edit?usp=sharing"",""งบพรบ!BT83"")"),0)</f>
        <v>0</v>
      </c>
      <c r="M147" s="48">
        <f ca="1">IFERROR(__xludf.DUMMYFUNCTION("IMPORTRANGE(""https://docs.google.com/spreadsheets/d/1-uDff_7J0KD5mKrp0Vvzr7lt3OU09vwQwhkpOPPYv2Y/edit?usp=sharing"",""งบพรบ!BW83"")"),0)</f>
        <v>0</v>
      </c>
      <c r="N147" s="48">
        <f ca="1">IFERROR(__xludf.DUMMYFUNCTION("IMPORTRANGE(""https://docs.google.com/spreadsheets/d/1-uDff_7J0KD5mKrp0Vvzr7lt3OU09vwQwhkpOPPYv2Y/edit?usp=sharing"",""งบพรบ!BY83"")"),0)</f>
        <v>0</v>
      </c>
      <c r="O147" s="48">
        <f ca="1">IF(L147&gt;0,N147*100/L147,0)</f>
        <v>0</v>
      </c>
      <c r="P147" s="48">
        <f ca="1">IF(M147&gt;0,N147*100/M147,0)</f>
        <v>0</v>
      </c>
    </row>
    <row r="148" spans="1:16" ht="19.5" hidden="1" x14ac:dyDescent="0.3">
      <c r="A148" s="149"/>
      <c r="B148" s="150"/>
      <c r="C148" s="198" t="s">
        <v>16</v>
      </c>
      <c r="D148" s="473" t="s">
        <v>36</v>
      </c>
      <c r="E148" s="152"/>
      <c r="F148" s="152"/>
      <c r="G148" s="153"/>
      <c r="H148" s="197"/>
      <c r="I148" s="46"/>
      <c r="J148" s="46"/>
      <c r="K148" s="47"/>
      <c r="L148" s="47"/>
      <c r="M148" s="47"/>
      <c r="N148" s="47"/>
      <c r="O148" s="47"/>
      <c r="P148" s="47"/>
    </row>
    <row r="149" spans="1:16" ht="18.75" hidden="1" x14ac:dyDescent="0.25">
      <c r="A149" s="137"/>
      <c r="B149" s="42"/>
      <c r="C149" s="42"/>
      <c r="D149" s="52" t="s">
        <v>57</v>
      </c>
      <c r="E149" s="42"/>
      <c r="F149" s="42"/>
      <c r="G149" s="44"/>
      <c r="H149" s="197"/>
      <c r="I149" s="46"/>
      <c r="J149" s="163">
        <v>0</v>
      </c>
      <c r="K149" s="47"/>
      <c r="L149" s="47"/>
      <c r="M149" s="47"/>
      <c r="N149" s="47"/>
      <c r="O149" s="47"/>
      <c r="P149" s="47"/>
    </row>
    <row r="150" spans="1:16" ht="19.5" hidden="1" x14ac:dyDescent="0.3">
      <c r="A150" s="137"/>
      <c r="B150" s="42"/>
      <c r="C150" s="42"/>
      <c r="D150" s="156"/>
      <c r="E150" s="198" t="s">
        <v>58</v>
      </c>
      <c r="F150" s="42"/>
      <c r="G150" s="44"/>
      <c r="H150" s="148" t="s">
        <v>33</v>
      </c>
      <c r="I150" s="170">
        <f ca="1">IFERROR(__xludf.DUMMYFUNCTION("IMPORTRANGE(""https://docs.google.com/spreadsheets/d/1eHaY18a8A9IcSdp1K8H6x8fbOy06t2VsZHhMHf-1x7Y/edit?usp=sharing"",""แผน!U83"")"),0)</f>
        <v>0</v>
      </c>
      <c r="J150" s="163">
        <v>0</v>
      </c>
      <c r="K150" s="48">
        <f ca="1">IF(I150&gt;0,J150*100/I150,0)</f>
        <v>0</v>
      </c>
      <c r="L150" s="47"/>
      <c r="M150" s="47"/>
      <c r="N150" s="47"/>
      <c r="O150" s="47"/>
      <c r="P150" s="47"/>
    </row>
    <row r="151" spans="1:16" ht="18.75" hidden="1" x14ac:dyDescent="0.25">
      <c r="A151" s="137"/>
      <c r="B151" s="42"/>
      <c r="C151" s="42"/>
      <c r="D151" s="156"/>
      <c r="E151" s="42"/>
      <c r="F151" s="42"/>
      <c r="G151" s="44"/>
      <c r="H151" s="148" t="s">
        <v>56</v>
      </c>
      <c r="I151" s="170">
        <f ca="1">IFERROR(__xludf.DUMMYFUNCTION("IMPORTRANGE(""https://docs.google.com/spreadsheets/d/1eHaY18a8A9IcSdp1K8H6x8fbOy06t2VsZHhMHf-1x7Y/edit?usp=sharing"",""แผน!V83"")"),0)</f>
        <v>0</v>
      </c>
      <c r="J151" s="163">
        <v>0</v>
      </c>
      <c r="K151" s="48">
        <f ca="1">IF(I151&gt;0,J151*100/I151,0)</f>
        <v>0</v>
      </c>
      <c r="L151" s="47"/>
      <c r="M151" s="47"/>
      <c r="N151" s="47"/>
      <c r="O151" s="47"/>
      <c r="P151" s="47"/>
    </row>
    <row r="152" spans="1:16" ht="19.5" hidden="1" x14ac:dyDescent="0.3">
      <c r="A152" s="137"/>
      <c r="B152" s="42"/>
      <c r="C152" s="42"/>
      <c r="D152" s="156"/>
      <c r="E152" s="198" t="s">
        <v>59</v>
      </c>
      <c r="F152" s="42"/>
      <c r="G152" s="44"/>
      <c r="H152" s="148" t="s">
        <v>33</v>
      </c>
      <c r="I152" s="170">
        <f ca="1">IFERROR(__xludf.DUMMYFUNCTION("IMPORTRANGE(""https://docs.google.com/spreadsheets/d/1eHaY18a8A9IcSdp1K8H6x8fbOy06t2VsZHhMHf-1x7Y/edit?usp=sharing"",""แผน!W83"")"),0)</f>
        <v>0</v>
      </c>
      <c r="J152" s="163">
        <v>0</v>
      </c>
      <c r="K152" s="48">
        <f ca="1">IF(I152&gt;0,J152*100/I152,0)</f>
        <v>0</v>
      </c>
      <c r="L152" s="47"/>
      <c r="M152" s="47"/>
      <c r="N152" s="47"/>
      <c r="O152" s="47"/>
      <c r="P152" s="47"/>
    </row>
    <row r="153" spans="1:16" ht="18.75" hidden="1" x14ac:dyDescent="0.25">
      <c r="A153" s="137"/>
      <c r="B153" s="42"/>
      <c r="C153" s="42"/>
      <c r="D153" s="42"/>
      <c r="E153" s="42"/>
      <c r="F153" s="42"/>
      <c r="G153" s="44"/>
      <c r="H153" s="148" t="s">
        <v>56</v>
      </c>
      <c r="I153" s="170">
        <f ca="1">IFERROR(__xludf.DUMMYFUNCTION("IMPORTRANGE(""https://docs.google.com/spreadsheets/d/1eHaY18a8A9IcSdp1K8H6x8fbOy06t2VsZHhMHf-1x7Y/edit?usp=sharing"",""แผน!X83"")"),0)</f>
        <v>0</v>
      </c>
      <c r="J153" s="163">
        <v>0</v>
      </c>
      <c r="K153" s="48">
        <f ca="1">IF(I153&gt;0,J153*100/I153,0)</f>
        <v>0</v>
      </c>
      <c r="L153" s="47"/>
      <c r="M153" s="47"/>
      <c r="N153" s="47"/>
      <c r="O153" s="47"/>
      <c r="P153" s="47"/>
    </row>
    <row r="154" spans="1:16" ht="18.75" hidden="1" x14ac:dyDescent="0.25">
      <c r="A154" s="137"/>
      <c r="B154" s="42"/>
      <c r="C154" s="42"/>
      <c r="D154" s="52" t="s">
        <v>60</v>
      </c>
      <c r="E154" s="42"/>
      <c r="F154" s="42"/>
      <c r="G154" s="44"/>
      <c r="H154" s="148" t="s">
        <v>54</v>
      </c>
      <c r="I154" s="170">
        <f ca="1">IFERROR(__xludf.DUMMYFUNCTION("IMPORTRANGE(""https://docs.google.com/spreadsheets/d/1eHaY18a8A9IcSdp1K8H6x8fbOy06t2VsZHhMHf-1x7Y/edit?usp=sharing"",""แผน!Y83"")"),0)</f>
        <v>0</v>
      </c>
      <c r="J154" s="163">
        <v>0</v>
      </c>
      <c r="K154" s="48">
        <f ca="1">IF(I154&gt;0,J154*100/I154,0)</f>
        <v>0</v>
      </c>
      <c r="L154" s="47"/>
      <c r="M154" s="47"/>
      <c r="N154" s="47"/>
      <c r="O154" s="47"/>
      <c r="P154" s="47"/>
    </row>
    <row r="155" spans="1:16" ht="19.5" hidden="1" x14ac:dyDescent="0.3">
      <c r="A155" s="126" t="s">
        <v>61</v>
      </c>
      <c r="B155" s="127"/>
      <c r="C155" s="191"/>
      <c r="D155" s="127"/>
      <c r="E155" s="127"/>
      <c r="F155" s="127"/>
      <c r="G155" s="127"/>
      <c r="H155" s="127"/>
      <c r="I155" s="192"/>
      <c r="J155" s="192"/>
      <c r="K155" s="193"/>
      <c r="L155" s="131"/>
      <c r="M155" s="131"/>
      <c r="N155" s="131"/>
      <c r="O155" s="131"/>
      <c r="P155" s="131"/>
    </row>
    <row r="156" spans="1:16" ht="19.5" hidden="1" x14ac:dyDescent="0.3">
      <c r="A156" s="132"/>
      <c r="B156" s="133" t="s">
        <v>62</v>
      </c>
      <c r="C156" s="27"/>
      <c r="D156" s="27"/>
      <c r="E156" s="27"/>
      <c r="F156" s="27"/>
      <c r="G156" s="30"/>
      <c r="H156" s="199" t="s">
        <v>33</v>
      </c>
      <c r="I156" s="136">
        <f ca="1">I169</f>
        <v>0</v>
      </c>
      <c r="J156" s="136">
        <f>J169</f>
        <v>0</v>
      </c>
      <c r="K156" s="34">
        <f ca="1">IF(I156&gt;0,J156*100/I156,0)</f>
        <v>0</v>
      </c>
      <c r="L156" s="33"/>
      <c r="M156" s="33"/>
      <c r="N156" s="33"/>
      <c r="O156" s="33"/>
      <c r="P156" s="33"/>
    </row>
    <row r="157" spans="1:16" ht="19.5" hidden="1" x14ac:dyDescent="0.3">
      <c r="A157" s="137"/>
      <c r="B157" s="42"/>
      <c r="C157" s="198" t="s">
        <v>16</v>
      </c>
      <c r="D157" s="475" t="s">
        <v>17</v>
      </c>
      <c r="E157" s="42"/>
      <c r="F157" s="42"/>
      <c r="G157" s="44"/>
      <c r="H157" s="140" t="s">
        <v>12</v>
      </c>
      <c r="I157" s="46"/>
      <c r="J157" s="46"/>
      <c r="K157" s="47"/>
      <c r="L157" s="141">
        <f ca="1">L158+L159</f>
        <v>0</v>
      </c>
      <c r="M157" s="141">
        <f ca="1">M158+M159</f>
        <v>0</v>
      </c>
      <c r="N157" s="141">
        <f ca="1">N158+N159</f>
        <v>0</v>
      </c>
      <c r="O157" s="141">
        <f ca="1">IF(L157&gt;0,N157*100/L157,0)</f>
        <v>0</v>
      </c>
      <c r="P157" s="141">
        <f ca="1">IF(M157&gt;0,N157*100/M157,0)</f>
        <v>0</v>
      </c>
    </row>
    <row r="158" spans="1:16" ht="18.75" hidden="1" x14ac:dyDescent="0.25">
      <c r="A158" s="137"/>
      <c r="B158" s="42"/>
      <c r="C158" s="42"/>
      <c r="D158" s="42"/>
      <c r="E158" s="296" t="s">
        <v>18</v>
      </c>
      <c r="F158" s="42"/>
      <c r="G158" s="44"/>
      <c r="H158" s="142" t="s">
        <v>12</v>
      </c>
      <c r="I158" s="46"/>
      <c r="J158" s="46"/>
      <c r="K158" s="47"/>
      <c r="L158" s="51">
        <f>L161+L164</f>
        <v>0</v>
      </c>
      <c r="M158" s="51">
        <f>M161+M164</f>
        <v>0</v>
      </c>
      <c r="N158" s="51">
        <f>N161+N164</f>
        <v>0</v>
      </c>
      <c r="O158" s="51">
        <f>IF(L158&gt;0,N158*100/L158,0)</f>
        <v>0</v>
      </c>
      <c r="P158" s="51">
        <f>IF(M158&gt;0,N158*100/M158,0)</f>
        <v>0</v>
      </c>
    </row>
    <row r="159" spans="1:16" ht="18.75" hidden="1" x14ac:dyDescent="0.25">
      <c r="A159" s="137"/>
      <c r="B159" s="42"/>
      <c r="C159" s="42"/>
      <c r="D159" s="42"/>
      <c r="E159" s="52" t="s">
        <v>19</v>
      </c>
      <c r="F159" s="42"/>
      <c r="G159" s="44"/>
      <c r="H159" s="143" t="s">
        <v>12</v>
      </c>
      <c r="I159" s="46"/>
      <c r="J159" s="46"/>
      <c r="K159" s="47"/>
      <c r="L159" s="48">
        <f ca="1">L162+L165</f>
        <v>0</v>
      </c>
      <c r="M159" s="48">
        <f ca="1">M162+M165</f>
        <v>0</v>
      </c>
      <c r="N159" s="48">
        <f ca="1">N162+N165</f>
        <v>0</v>
      </c>
      <c r="O159" s="48">
        <f ca="1">IF(L159&gt;0,N159*100/L159,0)</f>
        <v>0</v>
      </c>
      <c r="P159" s="48">
        <f ca="1">IF(M159&gt;0,N159*100/M159,0)</f>
        <v>0</v>
      </c>
    </row>
    <row r="160" spans="1:16" ht="18.75" hidden="1" x14ac:dyDescent="0.25">
      <c r="A160" s="137"/>
      <c r="B160" s="42"/>
      <c r="C160" s="42"/>
      <c r="D160" s="43" t="s">
        <v>20</v>
      </c>
      <c r="E160" s="42"/>
      <c r="F160" s="42"/>
      <c r="G160" s="44"/>
      <c r="H160" s="144" t="s">
        <v>12</v>
      </c>
      <c r="I160" s="145"/>
      <c r="J160" s="145"/>
      <c r="K160" s="146"/>
      <c r="L160" s="48">
        <f ca="1">L161+L162</f>
        <v>0</v>
      </c>
      <c r="M160" s="48">
        <f ca="1">M161+M162</f>
        <v>0</v>
      </c>
      <c r="N160" s="48">
        <f ca="1">N161+N162</f>
        <v>0</v>
      </c>
      <c r="O160" s="48">
        <f ca="1">IF(L160&gt;0,N160*100/L160,0)</f>
        <v>0</v>
      </c>
      <c r="P160" s="48">
        <f ca="1">IF(M160&gt;0,N160*100/M160,0)</f>
        <v>0</v>
      </c>
    </row>
    <row r="161" spans="1:16" ht="18.75" hidden="1" x14ac:dyDescent="0.25">
      <c r="A161" s="137"/>
      <c r="B161" s="42"/>
      <c r="C161" s="42"/>
      <c r="D161" s="42"/>
      <c r="E161" s="296" t="s">
        <v>34</v>
      </c>
      <c r="F161" s="42"/>
      <c r="G161" s="44"/>
      <c r="H161" s="147" t="s">
        <v>12</v>
      </c>
      <c r="I161" s="145"/>
      <c r="J161" s="145"/>
      <c r="K161" s="146"/>
      <c r="L161" s="51">
        <v>0</v>
      </c>
      <c r="M161" s="51">
        <v>0</v>
      </c>
      <c r="N161" s="51">
        <v>0</v>
      </c>
      <c r="O161" s="51">
        <f>IF(L161&gt;0,N161*100/L161,0)</f>
        <v>0</v>
      </c>
      <c r="P161" s="51">
        <f>IF(M161&gt;0,N161*100/M161,0)</f>
        <v>0</v>
      </c>
    </row>
    <row r="162" spans="1:16" ht="18.75" hidden="1" x14ac:dyDescent="0.25">
      <c r="A162" s="137"/>
      <c r="B162" s="42"/>
      <c r="C162" s="42"/>
      <c r="D162" s="42"/>
      <c r="E162" s="52" t="s">
        <v>35</v>
      </c>
      <c r="F162" s="42"/>
      <c r="G162" s="44"/>
      <c r="H162" s="144" t="s">
        <v>12</v>
      </c>
      <c r="I162" s="145"/>
      <c r="J162" s="145"/>
      <c r="K162" s="146"/>
      <c r="L162" s="48">
        <f ca="1">IFERROR(__xludf.DUMMYFUNCTION("IMPORTRANGE(""https://docs.google.com/spreadsheets/d/1-uDff_7J0KD5mKrp0Vvzr7lt3OU09vwQwhkpOPPYv2Y/edit?usp=sharing"",""งบพรบ!CA83"")"),0)</f>
        <v>0</v>
      </c>
      <c r="M162" s="48">
        <f ca="1">IFERROR(__xludf.DUMMYFUNCTION("IMPORTRANGE(""https://docs.google.com/spreadsheets/d/1-uDff_7J0KD5mKrp0Vvzr7lt3OU09vwQwhkpOPPYv2Y/edit?usp=sharing"",""งบพรบ!CF83"")"),0)</f>
        <v>0</v>
      </c>
      <c r="N162" s="48">
        <f ca="1">IFERROR(__xludf.DUMMYFUNCTION("IMPORTRANGE(""https://docs.google.com/spreadsheets/d/1-uDff_7J0KD5mKrp0Vvzr7lt3OU09vwQwhkpOPPYv2Y/edit?usp=sharing"",""งบพรบ!CH83"")"),0)</f>
        <v>0</v>
      </c>
      <c r="O162" s="48">
        <f ca="1">IF(L162&gt;0,N162*100/L162,0)</f>
        <v>0</v>
      </c>
      <c r="P162" s="48">
        <f ca="1">IF(M162&gt;0,N162*100/M162,0)</f>
        <v>0</v>
      </c>
    </row>
    <row r="163" spans="1:16" ht="18.75" hidden="1" x14ac:dyDescent="0.25">
      <c r="A163" s="137"/>
      <c r="B163" s="42"/>
      <c r="C163" s="42"/>
      <c r="D163" s="43" t="s">
        <v>21</v>
      </c>
      <c r="E163" s="42"/>
      <c r="F163" s="42"/>
      <c r="G163" s="44"/>
      <c r="H163" s="148" t="s">
        <v>12</v>
      </c>
      <c r="I163" s="145"/>
      <c r="J163" s="145"/>
      <c r="K163" s="146"/>
      <c r="L163" s="48">
        <f ca="1">L164+L165</f>
        <v>0</v>
      </c>
      <c r="M163" s="48">
        <f ca="1">M164+M165</f>
        <v>0</v>
      </c>
      <c r="N163" s="48">
        <f ca="1">N164+N165</f>
        <v>0</v>
      </c>
      <c r="O163" s="48">
        <f ca="1">IF(L163&gt;0,N163*100/L163,0)</f>
        <v>0</v>
      </c>
      <c r="P163" s="48">
        <f ca="1">IF(M163&gt;0,N163*100/M163,0)</f>
        <v>0</v>
      </c>
    </row>
    <row r="164" spans="1:16" ht="18.75" hidden="1" x14ac:dyDescent="0.25">
      <c r="A164" s="137"/>
      <c r="B164" s="42"/>
      <c r="C164" s="42"/>
      <c r="D164" s="42"/>
      <c r="E164" s="296" t="s">
        <v>18</v>
      </c>
      <c r="F164" s="42"/>
      <c r="G164" s="44"/>
      <c r="H164" s="147" t="s">
        <v>12</v>
      </c>
      <c r="I164" s="145"/>
      <c r="J164" s="145"/>
      <c r="K164" s="146"/>
      <c r="L164" s="51">
        <v>0</v>
      </c>
      <c r="M164" s="51">
        <v>0</v>
      </c>
      <c r="N164" s="51">
        <v>0</v>
      </c>
      <c r="O164" s="51">
        <f>IF(L164&gt;0,N164*100/L164,0)</f>
        <v>0</v>
      </c>
      <c r="P164" s="51">
        <f>IF(M164&gt;0,N164*100/M164,0)</f>
        <v>0</v>
      </c>
    </row>
    <row r="165" spans="1:16" ht="18.75" hidden="1" x14ac:dyDescent="0.25">
      <c r="A165" s="137"/>
      <c r="B165" s="42"/>
      <c r="C165" s="42"/>
      <c r="D165" s="42"/>
      <c r="E165" s="52" t="s">
        <v>19</v>
      </c>
      <c r="F165" s="42"/>
      <c r="G165" s="44"/>
      <c r="H165" s="148" t="s">
        <v>12</v>
      </c>
      <c r="I165" s="145"/>
      <c r="J165" s="145"/>
      <c r="K165" s="146"/>
      <c r="L165" s="48">
        <f ca="1">IFERROR(__xludf.DUMMYFUNCTION("IMPORTRANGE(""https://docs.google.com/spreadsheets/d/1-uDff_7J0KD5mKrp0Vvzr7lt3OU09vwQwhkpOPPYv2Y/edit?usp=sharing"",""งบพรบ!CD83"")"),0)</f>
        <v>0</v>
      </c>
      <c r="M165" s="48">
        <f ca="1">IFERROR(__xludf.DUMMYFUNCTION("IMPORTRANGE(""https://docs.google.com/spreadsheets/d/1-uDff_7J0KD5mKrp0Vvzr7lt3OU09vwQwhkpOPPYv2Y/edit?usp=sharing"",""งบพรบ!CG83"")"),0)</f>
        <v>0</v>
      </c>
      <c r="N165" s="48">
        <f ca="1">IFERROR(__xludf.DUMMYFUNCTION("IMPORTRANGE(""https://docs.google.com/spreadsheets/d/1-uDff_7J0KD5mKrp0Vvzr7lt3OU09vwQwhkpOPPYv2Y/edit?usp=sharing"",""งบพรบ!CI83"")"),0)</f>
        <v>0</v>
      </c>
      <c r="O165" s="48">
        <f ca="1">IF(L165&gt;0,N165*100/L165,0)</f>
        <v>0</v>
      </c>
      <c r="P165" s="48">
        <f ca="1">IF(M165&gt;0,N165*100/M165,0)</f>
        <v>0</v>
      </c>
    </row>
    <row r="166" spans="1:16" ht="19.5" hidden="1" x14ac:dyDescent="0.3">
      <c r="A166" s="149"/>
      <c r="B166" s="150"/>
      <c r="C166" s="198" t="s">
        <v>16</v>
      </c>
      <c r="D166" s="473" t="s">
        <v>36</v>
      </c>
      <c r="E166" s="152"/>
      <c r="F166" s="152"/>
      <c r="G166" s="153"/>
      <c r="H166" s="197"/>
      <c r="I166" s="46"/>
      <c r="J166" s="46"/>
      <c r="K166" s="47"/>
      <c r="L166" s="47"/>
      <c r="M166" s="47"/>
      <c r="N166" s="47"/>
      <c r="O166" s="47"/>
      <c r="P166" s="47"/>
    </row>
    <row r="167" spans="1:16" ht="18.75" hidden="1" x14ac:dyDescent="0.25">
      <c r="A167" s="137"/>
      <c r="B167" s="42"/>
      <c r="C167" s="42"/>
      <c r="D167" s="52" t="s">
        <v>63</v>
      </c>
      <c r="E167" s="42"/>
      <c r="F167" s="42"/>
      <c r="G167" s="44"/>
      <c r="H167" s="148" t="s">
        <v>33</v>
      </c>
      <c r="I167" s="170">
        <f ca="1">IFERROR(__xludf.DUMMYFUNCTION("IMPORTRANGE(""https://docs.google.com/spreadsheets/d/1eHaY18a8A9IcSdp1K8H6x8fbOy06t2VsZHhMHf-1x7Y/edit?usp=sharing"",""แผน!Z83"")"),0)</f>
        <v>0</v>
      </c>
      <c r="J167" s="163">
        <v>0</v>
      </c>
      <c r="K167" s="48">
        <f ca="1">IF(I167&gt;0,J167*100/I167,0)</f>
        <v>0</v>
      </c>
      <c r="L167" s="47"/>
      <c r="M167" s="47"/>
      <c r="N167" s="47"/>
      <c r="O167" s="47"/>
      <c r="P167" s="47"/>
    </row>
    <row r="168" spans="1:16" ht="18.75" hidden="1" x14ac:dyDescent="0.25">
      <c r="A168" s="137"/>
      <c r="B168" s="42"/>
      <c r="C168" s="42"/>
      <c r="D168" s="296" t="s">
        <v>64</v>
      </c>
      <c r="E168" s="42"/>
      <c r="F168" s="42"/>
      <c r="G168" s="44"/>
      <c r="H168" s="200" t="s">
        <v>33</v>
      </c>
      <c r="I168" s="201">
        <f ca="1">IFERROR(__xludf.DUMMYFUNCTION("IMPORTRANGE(""https://docs.google.com/spreadsheets/d/1eHaY18a8A9IcSdp1K8H6x8fbOy06t2VsZHhMHf-1x7Y/edit?usp=sharing"",""แผน!Z83"")"),0)</f>
        <v>0</v>
      </c>
      <c r="J168" s="202">
        <v>0</v>
      </c>
      <c r="K168" s="51">
        <f ca="1">IF(I168&gt;0,J168*100/I168,0)</f>
        <v>0</v>
      </c>
      <c r="L168" s="47"/>
      <c r="M168" s="47"/>
      <c r="N168" s="47"/>
      <c r="O168" s="47"/>
      <c r="P168" s="47"/>
    </row>
    <row r="169" spans="1:16" ht="18.75" hidden="1" x14ac:dyDescent="0.25">
      <c r="A169" s="203"/>
      <c r="B169" s="1"/>
      <c r="C169" s="1"/>
      <c r="D169" s="204" t="s">
        <v>65</v>
      </c>
      <c r="E169" s="1"/>
      <c r="F169" s="1"/>
      <c r="G169" s="55"/>
      <c r="H169" s="205" t="s">
        <v>33</v>
      </c>
      <c r="I169" s="206">
        <f ca="1">IFERROR(__xludf.DUMMYFUNCTION("IMPORTRANGE(""https://docs.google.com/spreadsheets/d/1eHaY18a8A9IcSdp1K8H6x8fbOy06t2VsZHhMHf-1x7Y/edit?usp=sharing"",""แผน!Z83"")"),0)</f>
        <v>0</v>
      </c>
      <c r="J169" s="207">
        <v>0</v>
      </c>
      <c r="K169" s="208">
        <f ca="1">IF(I169&gt;0,J169*100/I169,0)</f>
        <v>0</v>
      </c>
      <c r="L169" s="58"/>
      <c r="M169" s="58"/>
      <c r="N169" s="58"/>
      <c r="O169" s="58"/>
      <c r="P169" s="58"/>
    </row>
    <row r="170" spans="1:16" ht="19.5" x14ac:dyDescent="0.3">
      <c r="A170" s="209" t="s">
        <v>66</v>
      </c>
      <c r="B170" s="210"/>
      <c r="C170" s="210"/>
      <c r="D170" s="210"/>
      <c r="E170" s="211"/>
      <c r="F170" s="211"/>
      <c r="G170" s="211"/>
      <c r="H170" s="211"/>
      <c r="I170" s="212"/>
      <c r="J170" s="212"/>
      <c r="K170" s="213"/>
      <c r="L170" s="213"/>
      <c r="M170" s="213"/>
      <c r="N170" s="213"/>
      <c r="O170" s="213"/>
      <c r="P170" s="214"/>
    </row>
    <row r="171" spans="1:16" ht="19.5" hidden="1" x14ac:dyDescent="0.3">
      <c r="A171" s="215" t="s">
        <v>67</v>
      </c>
      <c r="B171" s="216"/>
      <c r="C171" s="216"/>
      <c r="D171" s="217"/>
      <c r="E171" s="217"/>
      <c r="F171" s="217"/>
      <c r="G171" s="217"/>
      <c r="H171" s="218"/>
      <c r="I171" s="219"/>
      <c r="J171" s="219"/>
      <c r="K171" s="220"/>
      <c r="L171" s="220"/>
      <c r="M171" s="220"/>
      <c r="N171" s="220"/>
      <c r="O171" s="220"/>
      <c r="P171" s="220"/>
    </row>
    <row r="172" spans="1:16" ht="19.5" hidden="1" x14ac:dyDescent="0.3">
      <c r="A172" s="221"/>
      <c r="B172" s="222" t="s">
        <v>68</v>
      </c>
      <c r="C172" s="223"/>
      <c r="D172" s="152"/>
      <c r="E172" s="152"/>
      <c r="F172" s="152"/>
      <c r="G172" s="153"/>
      <c r="H172" s="224" t="s">
        <v>33</v>
      </c>
      <c r="I172" s="225">
        <f ca="1">I183+I184</f>
        <v>0</v>
      </c>
      <c r="J172" s="225">
        <f>J183+J184</f>
        <v>0</v>
      </c>
      <c r="K172" s="226">
        <f ca="1">IF(I172&gt;0,J172*100/I172,0)</f>
        <v>0</v>
      </c>
      <c r="L172" s="227"/>
      <c r="M172" s="227"/>
      <c r="N172" s="227"/>
      <c r="O172" s="227"/>
      <c r="P172" s="227"/>
    </row>
    <row r="173" spans="1:16" ht="19.5" hidden="1" x14ac:dyDescent="0.3">
      <c r="A173" s="137"/>
      <c r="B173" s="42"/>
      <c r="C173" s="198" t="s">
        <v>16</v>
      </c>
      <c r="D173" s="475" t="s">
        <v>17</v>
      </c>
      <c r="E173" s="42"/>
      <c r="F173" s="42"/>
      <c r="G173" s="44"/>
      <c r="H173" s="140" t="s">
        <v>12</v>
      </c>
      <c r="I173" s="46"/>
      <c r="J173" s="46"/>
      <c r="K173" s="47"/>
      <c r="L173" s="141">
        <f ca="1">L174+L175</f>
        <v>0</v>
      </c>
      <c r="M173" s="141">
        <f ca="1">M174+M175</f>
        <v>0</v>
      </c>
      <c r="N173" s="141">
        <f ca="1">N174+N175</f>
        <v>0</v>
      </c>
      <c r="O173" s="141">
        <f ca="1">IF(L173&gt;0,N173*100/L173,0)</f>
        <v>0</v>
      </c>
      <c r="P173" s="141">
        <f ca="1">IF(M173&gt;0,N173*100/M173,0)</f>
        <v>0</v>
      </c>
    </row>
    <row r="174" spans="1:16" ht="18.75" hidden="1" x14ac:dyDescent="0.25">
      <c r="A174" s="137"/>
      <c r="B174" s="42"/>
      <c r="C174" s="42"/>
      <c r="D174" s="42"/>
      <c r="E174" s="296" t="s">
        <v>18</v>
      </c>
      <c r="F174" s="42"/>
      <c r="G174" s="44"/>
      <c r="H174" s="142" t="s">
        <v>12</v>
      </c>
      <c r="I174" s="46"/>
      <c r="J174" s="46"/>
      <c r="K174" s="47"/>
      <c r="L174" s="51">
        <f>L177+L180</f>
        <v>0</v>
      </c>
      <c r="M174" s="51">
        <f>M177+M180</f>
        <v>0</v>
      </c>
      <c r="N174" s="51">
        <f>N177+N180</f>
        <v>0</v>
      </c>
      <c r="O174" s="51">
        <f>IF(L174&gt;0,N174*100/L174,0)</f>
        <v>0</v>
      </c>
      <c r="P174" s="51">
        <f>IF(M174&gt;0,N174*100/M174,0)</f>
        <v>0</v>
      </c>
    </row>
    <row r="175" spans="1:16" ht="18.75" hidden="1" x14ac:dyDescent="0.25">
      <c r="A175" s="137"/>
      <c r="B175" s="42"/>
      <c r="C175" s="42"/>
      <c r="D175" s="42"/>
      <c r="E175" s="52" t="s">
        <v>19</v>
      </c>
      <c r="F175" s="42"/>
      <c r="G175" s="44"/>
      <c r="H175" s="143" t="s">
        <v>12</v>
      </c>
      <c r="I175" s="46"/>
      <c r="J175" s="46"/>
      <c r="K175" s="47"/>
      <c r="L175" s="48">
        <f ca="1">L178+L181</f>
        <v>0</v>
      </c>
      <c r="M175" s="48">
        <f ca="1">M178+M181</f>
        <v>0</v>
      </c>
      <c r="N175" s="48">
        <f ca="1">N178+N181</f>
        <v>0</v>
      </c>
      <c r="O175" s="48">
        <f ca="1">IF(L175&gt;0,N175*100/L175,0)</f>
        <v>0</v>
      </c>
      <c r="P175" s="48">
        <f ca="1">IF(M175&gt;0,N175*100/M175,0)</f>
        <v>0</v>
      </c>
    </row>
    <row r="176" spans="1:16" ht="18.75" hidden="1" x14ac:dyDescent="0.25">
      <c r="A176" s="137"/>
      <c r="B176" s="42"/>
      <c r="C176" s="42"/>
      <c r="D176" s="43" t="s">
        <v>20</v>
      </c>
      <c r="E176" s="42"/>
      <c r="F176" s="42"/>
      <c r="G176" s="44"/>
      <c r="H176" s="144" t="s">
        <v>12</v>
      </c>
      <c r="I176" s="145"/>
      <c r="J176" s="145"/>
      <c r="K176" s="146"/>
      <c r="L176" s="48">
        <f ca="1">L177+L178</f>
        <v>0</v>
      </c>
      <c r="M176" s="48">
        <f ca="1">M177+M178</f>
        <v>0</v>
      </c>
      <c r="N176" s="48">
        <f ca="1">N177+N178</f>
        <v>0</v>
      </c>
      <c r="O176" s="48">
        <f ca="1">IF(L176&gt;0,N176*100/L176,0)</f>
        <v>0</v>
      </c>
      <c r="P176" s="48">
        <f ca="1">IF(M176&gt;0,N176*100/M176,0)</f>
        <v>0</v>
      </c>
    </row>
    <row r="177" spans="1:16" ht="18.75" hidden="1" x14ac:dyDescent="0.25">
      <c r="A177" s="137"/>
      <c r="B177" s="42"/>
      <c r="C177" s="42"/>
      <c r="D177" s="42"/>
      <c r="E177" s="296" t="s">
        <v>34</v>
      </c>
      <c r="F177" s="42"/>
      <c r="G177" s="44"/>
      <c r="H177" s="147" t="s">
        <v>12</v>
      </c>
      <c r="I177" s="145"/>
      <c r="J177" s="145"/>
      <c r="K177" s="146"/>
      <c r="L177" s="51">
        <v>0</v>
      </c>
      <c r="M177" s="51">
        <v>0</v>
      </c>
      <c r="N177" s="51">
        <v>0</v>
      </c>
      <c r="O177" s="51">
        <f>IF(L177&gt;0,N177*100/L177,0)</f>
        <v>0</v>
      </c>
      <c r="P177" s="51">
        <f>IF(M177&gt;0,N177*100/M177,0)</f>
        <v>0</v>
      </c>
    </row>
    <row r="178" spans="1:16" ht="18.75" hidden="1" x14ac:dyDescent="0.25">
      <c r="A178" s="137"/>
      <c r="B178" s="42"/>
      <c r="C178" s="42"/>
      <c r="D178" s="42"/>
      <c r="E178" s="52" t="s">
        <v>35</v>
      </c>
      <c r="F178" s="42"/>
      <c r="G178" s="44"/>
      <c r="H178" s="144" t="s">
        <v>12</v>
      </c>
      <c r="I178" s="145"/>
      <c r="J178" s="145"/>
      <c r="K178" s="146"/>
      <c r="L178" s="48">
        <f ca="1">IFERROR(__xludf.DUMMYFUNCTION("IMPORTRANGE(""https://docs.google.com/spreadsheets/d/1-uDff_7J0KD5mKrp0Vvzr7lt3OU09vwQwhkpOPPYv2Y/edit?usp=sharing"",""งบพรบ!CK83"")"),0)</f>
        <v>0</v>
      </c>
      <c r="M178" s="48">
        <f ca="1">IFERROR(__xludf.DUMMYFUNCTION("IMPORTRANGE(""https://docs.google.com/spreadsheets/d/1-uDff_7J0KD5mKrp0Vvzr7lt3OU09vwQwhkpOPPYv2Y/edit?usp=sharing"",""งบพรบ!CP83"")"),0)</f>
        <v>0</v>
      </c>
      <c r="N178" s="48">
        <f ca="1">IFERROR(__xludf.DUMMYFUNCTION("IMPORTRANGE(""https://docs.google.com/spreadsheets/d/1-uDff_7J0KD5mKrp0Vvzr7lt3OU09vwQwhkpOPPYv2Y/edit?usp=sharing"",""งบพรบ!CR83"")"),0)</f>
        <v>0</v>
      </c>
      <c r="O178" s="48">
        <f ca="1">IF(L178&gt;0,N178*100/L178,0)</f>
        <v>0</v>
      </c>
      <c r="P178" s="48">
        <f ca="1">IF(M178&gt;0,N178*100/M178,0)</f>
        <v>0</v>
      </c>
    </row>
    <row r="179" spans="1:16" ht="18.75" hidden="1" x14ac:dyDescent="0.25">
      <c r="A179" s="137"/>
      <c r="B179" s="42"/>
      <c r="C179" s="42"/>
      <c r="D179" s="43" t="s">
        <v>21</v>
      </c>
      <c r="E179" s="42"/>
      <c r="F179" s="42"/>
      <c r="G179" s="44"/>
      <c r="H179" s="148" t="s">
        <v>12</v>
      </c>
      <c r="I179" s="145"/>
      <c r="J179" s="145"/>
      <c r="K179" s="146"/>
      <c r="L179" s="48">
        <f ca="1">L180+L181</f>
        <v>0</v>
      </c>
      <c r="M179" s="48">
        <f ca="1">M180+M181</f>
        <v>0</v>
      </c>
      <c r="N179" s="48">
        <f ca="1">N180+N181</f>
        <v>0</v>
      </c>
      <c r="O179" s="48">
        <f ca="1">IF(L179&gt;0,N179*100/L179,0)</f>
        <v>0</v>
      </c>
      <c r="P179" s="48">
        <f ca="1">IF(M179&gt;0,N179*100/M179,0)</f>
        <v>0</v>
      </c>
    </row>
    <row r="180" spans="1:16" ht="18.75" hidden="1" x14ac:dyDescent="0.25">
      <c r="A180" s="137"/>
      <c r="B180" s="42"/>
      <c r="C180" s="42"/>
      <c r="D180" s="42"/>
      <c r="E180" s="296" t="s">
        <v>18</v>
      </c>
      <c r="F180" s="42"/>
      <c r="G180" s="44"/>
      <c r="H180" s="147" t="s">
        <v>12</v>
      </c>
      <c r="I180" s="145"/>
      <c r="J180" s="145"/>
      <c r="K180" s="146"/>
      <c r="L180" s="51">
        <v>0</v>
      </c>
      <c r="M180" s="51">
        <v>0</v>
      </c>
      <c r="N180" s="51">
        <v>0</v>
      </c>
      <c r="O180" s="51">
        <f>IF(L180&gt;0,N180*100/L180,0)</f>
        <v>0</v>
      </c>
      <c r="P180" s="51">
        <f>IF(M180&gt;0,N180*100/M180,0)</f>
        <v>0</v>
      </c>
    </row>
    <row r="181" spans="1:16" ht="18.75" hidden="1" x14ac:dyDescent="0.25">
      <c r="A181" s="137"/>
      <c r="B181" s="42"/>
      <c r="C181" s="42"/>
      <c r="D181" s="42"/>
      <c r="E181" s="52" t="s">
        <v>19</v>
      </c>
      <c r="F181" s="42"/>
      <c r="G181" s="44"/>
      <c r="H181" s="148" t="s">
        <v>12</v>
      </c>
      <c r="I181" s="145"/>
      <c r="J181" s="145"/>
      <c r="K181" s="146"/>
      <c r="L181" s="48">
        <f ca="1">IFERROR(__xludf.DUMMYFUNCTION("IMPORTRANGE(""https://docs.google.com/spreadsheets/d/1-uDff_7J0KD5mKrp0Vvzr7lt3OU09vwQwhkpOPPYv2Y/edit?usp=sharing"",""งบพรบ!CN83"")"),0)</f>
        <v>0</v>
      </c>
      <c r="M181" s="48">
        <f ca="1">IFERROR(__xludf.DUMMYFUNCTION("IMPORTRANGE(""https://docs.google.com/spreadsheets/d/1-uDff_7J0KD5mKrp0Vvzr7lt3OU09vwQwhkpOPPYv2Y/edit?usp=sharing"",""งบพรบ!CQ83"")"),0)</f>
        <v>0</v>
      </c>
      <c r="N181" s="48">
        <f ca="1">IFERROR(__xludf.DUMMYFUNCTION("IMPORTRANGE(""https://docs.google.com/spreadsheets/d/1-uDff_7J0KD5mKrp0Vvzr7lt3OU09vwQwhkpOPPYv2Y/edit?usp=sharing"",""งบพรบ!CS83"")"),0)</f>
        <v>0</v>
      </c>
      <c r="O181" s="48">
        <f ca="1">IF(L181&gt;0,N181*100/L181,0)</f>
        <v>0</v>
      </c>
      <c r="P181" s="48">
        <f ca="1">IF(M181&gt;0,N181*100/M181,0)</f>
        <v>0</v>
      </c>
    </row>
    <row r="182" spans="1:16" ht="19.5" hidden="1" x14ac:dyDescent="0.3">
      <c r="A182" s="149"/>
      <c r="B182" s="150"/>
      <c r="C182" s="198" t="s">
        <v>16</v>
      </c>
      <c r="D182" s="473" t="s">
        <v>36</v>
      </c>
      <c r="E182" s="152"/>
      <c r="F182" s="152"/>
      <c r="G182" s="153"/>
      <c r="H182" s="197"/>
      <c r="I182" s="46"/>
      <c r="J182" s="46"/>
      <c r="K182" s="47"/>
      <c r="L182" s="47"/>
      <c r="M182" s="47"/>
      <c r="N182" s="47"/>
      <c r="O182" s="47"/>
      <c r="P182" s="47"/>
    </row>
    <row r="183" spans="1:16" ht="18.75" hidden="1" x14ac:dyDescent="0.25">
      <c r="A183" s="228"/>
      <c r="B183" s="42"/>
      <c r="C183" s="229"/>
      <c r="D183" s="230" t="s">
        <v>69</v>
      </c>
      <c r="E183" s="42"/>
      <c r="F183" s="42"/>
      <c r="G183" s="44"/>
      <c r="H183" s="231" t="s">
        <v>33</v>
      </c>
      <c r="I183" s="170">
        <f ca="1">IFERROR(__xludf.DUMMYFUNCTION("IMPORTRANGE(""https://docs.google.com/spreadsheets/d/1eHaY18a8A9IcSdp1K8H6x8fbOy06t2VsZHhMHf-1x7Y/edit?usp=sharing"",""แผน!AA83"")"),0)</f>
        <v>0</v>
      </c>
      <c r="J183" s="163">
        <v>0</v>
      </c>
      <c r="K183" s="48">
        <f ca="1">IF(I183&gt;0,J183*100/I183,0)</f>
        <v>0</v>
      </c>
      <c r="L183" s="47"/>
      <c r="M183" s="47"/>
      <c r="N183" s="47"/>
      <c r="O183" s="47"/>
      <c r="P183" s="47"/>
    </row>
    <row r="184" spans="1:16" ht="18.75" hidden="1" x14ac:dyDescent="0.25">
      <c r="A184" s="228"/>
      <c r="B184" s="229"/>
      <c r="C184" s="229"/>
      <c r="D184" s="232" t="s">
        <v>70</v>
      </c>
      <c r="E184" s="42"/>
      <c r="F184" s="42"/>
      <c r="G184" s="44"/>
      <c r="H184" s="233" t="s">
        <v>33</v>
      </c>
      <c r="I184" s="201">
        <v>0</v>
      </c>
      <c r="J184" s="201">
        <v>0</v>
      </c>
      <c r="K184" s="51">
        <f>IF(I184&gt;0,J184*100/I184,0)</f>
        <v>0</v>
      </c>
      <c r="L184" s="47"/>
      <c r="M184" s="47"/>
      <c r="N184" s="47"/>
      <c r="O184" s="47"/>
      <c r="P184" s="47"/>
    </row>
    <row r="185" spans="1:16" ht="19.5" x14ac:dyDescent="0.3">
      <c r="A185" s="221"/>
      <c r="B185" s="222" t="s">
        <v>71</v>
      </c>
      <c r="C185" s="223"/>
      <c r="D185" s="152"/>
      <c r="E185" s="152"/>
      <c r="F185" s="152"/>
      <c r="G185" s="153"/>
      <c r="H185" s="224" t="s">
        <v>33</v>
      </c>
      <c r="I185" s="225">
        <f ca="1">I230+I231</f>
        <v>0</v>
      </c>
      <c r="J185" s="225">
        <f>J230+J231</f>
        <v>0</v>
      </c>
      <c r="K185" s="226">
        <f ca="1">IF(I185&gt;0,J185*100/I185,0)</f>
        <v>0</v>
      </c>
      <c r="L185" s="227"/>
      <c r="M185" s="227"/>
      <c r="N185" s="227"/>
      <c r="O185" s="227"/>
      <c r="P185" s="227"/>
    </row>
    <row r="186" spans="1:16" ht="19.5" x14ac:dyDescent="0.3">
      <c r="A186" s="137"/>
      <c r="B186" s="42"/>
      <c r="C186" s="198" t="s">
        <v>16</v>
      </c>
      <c r="D186" s="475" t="s">
        <v>17</v>
      </c>
      <c r="E186" s="42"/>
      <c r="F186" s="42"/>
      <c r="G186" s="44"/>
      <c r="H186" s="140" t="s">
        <v>12</v>
      </c>
      <c r="I186" s="46"/>
      <c r="J186" s="46"/>
      <c r="K186" s="47"/>
      <c r="L186" s="141">
        <f ca="1">L187+L188</f>
        <v>80500</v>
      </c>
      <c r="M186" s="141">
        <f ca="1">M187+M188</f>
        <v>56500</v>
      </c>
      <c r="N186" s="141">
        <f ca="1">N187+N188</f>
        <v>0</v>
      </c>
      <c r="O186" s="141">
        <f ca="1">IF(L186&gt;0,N186*100/L186,0)</f>
        <v>0</v>
      </c>
      <c r="P186" s="141">
        <f ca="1">IF(M186&gt;0,N186*100/M186,0)</f>
        <v>0</v>
      </c>
    </row>
    <row r="187" spans="1:16" ht="18.75" hidden="1" x14ac:dyDescent="0.25">
      <c r="A187" s="137"/>
      <c r="B187" s="42"/>
      <c r="C187" s="42"/>
      <c r="D187" s="42"/>
      <c r="E187" s="296" t="s">
        <v>18</v>
      </c>
      <c r="F187" s="42"/>
      <c r="G187" s="44"/>
      <c r="H187" s="142" t="s">
        <v>12</v>
      </c>
      <c r="I187" s="46"/>
      <c r="J187" s="46"/>
      <c r="K187" s="47"/>
      <c r="L187" s="51">
        <f>L190+L193</f>
        <v>0</v>
      </c>
      <c r="M187" s="51">
        <f>M190+M193</f>
        <v>0</v>
      </c>
      <c r="N187" s="51">
        <f>N190+N193</f>
        <v>0</v>
      </c>
      <c r="O187" s="51">
        <f>IF(L187&gt;0,N187*100/L187,0)</f>
        <v>0</v>
      </c>
      <c r="P187" s="51">
        <f>IF(M187&gt;0,N187*100/M187,0)</f>
        <v>0</v>
      </c>
    </row>
    <row r="188" spans="1:16" ht="18.75" x14ac:dyDescent="0.25">
      <c r="A188" s="137"/>
      <c r="B188" s="42"/>
      <c r="C188" s="42"/>
      <c r="D188" s="42"/>
      <c r="E188" s="52" t="s">
        <v>19</v>
      </c>
      <c r="F188" s="42"/>
      <c r="G188" s="44"/>
      <c r="H188" s="143" t="s">
        <v>12</v>
      </c>
      <c r="I188" s="46"/>
      <c r="J188" s="46"/>
      <c r="K188" s="47"/>
      <c r="L188" s="48">
        <f ca="1">L191+L194</f>
        <v>80500</v>
      </c>
      <c r="M188" s="48">
        <f ca="1">M191+M194</f>
        <v>56500</v>
      </c>
      <c r="N188" s="48">
        <f ca="1">N191+N194</f>
        <v>0</v>
      </c>
      <c r="O188" s="48">
        <f ca="1">IF(L188&gt;0,N188*100/L188,0)</f>
        <v>0</v>
      </c>
      <c r="P188" s="48">
        <f ca="1">IF(M188&gt;0,N188*100/M188,0)</f>
        <v>0</v>
      </c>
    </row>
    <row r="189" spans="1:16" ht="18.75" x14ac:dyDescent="0.25">
      <c r="A189" s="137"/>
      <c r="B189" s="42"/>
      <c r="C189" s="42"/>
      <c r="D189" s="43" t="s">
        <v>20</v>
      </c>
      <c r="E189" s="42"/>
      <c r="F189" s="42"/>
      <c r="G189" s="44"/>
      <c r="H189" s="144" t="s">
        <v>12</v>
      </c>
      <c r="I189" s="145"/>
      <c r="J189" s="145"/>
      <c r="K189" s="146"/>
      <c r="L189" s="48">
        <f ca="1">L190+L191</f>
        <v>80500</v>
      </c>
      <c r="M189" s="48">
        <f ca="1">M190+M191</f>
        <v>56500</v>
      </c>
      <c r="N189" s="48">
        <f ca="1">N190+N191</f>
        <v>0</v>
      </c>
      <c r="O189" s="48">
        <f ca="1">IF(L189&gt;0,N189*100/L189,0)</f>
        <v>0</v>
      </c>
      <c r="P189" s="48">
        <f ca="1">IF(M189&gt;0,N189*100/M189,0)</f>
        <v>0</v>
      </c>
    </row>
    <row r="190" spans="1:16" ht="18.75" hidden="1" x14ac:dyDescent="0.25">
      <c r="A190" s="137"/>
      <c r="B190" s="42"/>
      <c r="C190" s="42"/>
      <c r="D190" s="42"/>
      <c r="E190" s="296" t="s">
        <v>34</v>
      </c>
      <c r="F190" s="42"/>
      <c r="G190" s="44"/>
      <c r="H190" s="147" t="s">
        <v>12</v>
      </c>
      <c r="I190" s="145"/>
      <c r="J190" s="145"/>
      <c r="K190" s="146"/>
      <c r="L190" s="51">
        <v>0</v>
      </c>
      <c r="M190" s="51">
        <v>0</v>
      </c>
      <c r="N190" s="51">
        <v>0</v>
      </c>
      <c r="O190" s="51">
        <f>IF(L190&gt;0,N190*100/L190,0)</f>
        <v>0</v>
      </c>
      <c r="P190" s="51">
        <f>IF(M190&gt;0,N190*100/M190,0)</f>
        <v>0</v>
      </c>
    </row>
    <row r="191" spans="1:16" ht="18.75" x14ac:dyDescent="0.25">
      <c r="A191" s="137"/>
      <c r="B191" s="42"/>
      <c r="C191" s="42"/>
      <c r="D191" s="42"/>
      <c r="E191" s="52" t="s">
        <v>35</v>
      </c>
      <c r="F191" s="42"/>
      <c r="G191" s="44"/>
      <c r="H191" s="144" t="s">
        <v>12</v>
      </c>
      <c r="I191" s="145"/>
      <c r="J191" s="145"/>
      <c r="K191" s="146"/>
      <c r="L191" s="48">
        <f ca="1">IFERROR(__xludf.DUMMYFUNCTION("IMPORTRANGE(""https://docs.google.com/spreadsheets/d/1-uDff_7J0KD5mKrp0Vvzr7lt3OU09vwQwhkpOPPYv2Y/edit?usp=sharing"",""งบพรบ!CU83"")"),80500)</f>
        <v>80500</v>
      </c>
      <c r="M191" s="48">
        <f ca="1">IFERROR(__xludf.DUMMYFUNCTION("IMPORTRANGE(""https://docs.google.com/spreadsheets/d/1-uDff_7J0KD5mKrp0Vvzr7lt3OU09vwQwhkpOPPYv2Y/edit?usp=sharing"",""งบพรบ!CZ83"")"),56500)</f>
        <v>56500</v>
      </c>
      <c r="N191" s="48">
        <f ca="1">IFERROR(__xludf.DUMMYFUNCTION("IMPORTRANGE(""https://docs.google.com/spreadsheets/d/1-uDff_7J0KD5mKrp0Vvzr7lt3OU09vwQwhkpOPPYv2Y/edit?usp=sharing"",""งบพรบ!DB83"")"),0)</f>
        <v>0</v>
      </c>
      <c r="O191" s="48">
        <f ca="1">IF(L191&gt;0,N191*100/L191,0)</f>
        <v>0</v>
      </c>
      <c r="P191" s="48">
        <f ca="1">IF(M191&gt;0,N191*100/M191,0)</f>
        <v>0</v>
      </c>
    </row>
    <row r="192" spans="1:16" ht="18.75" x14ac:dyDescent="0.25">
      <c r="A192" s="137"/>
      <c r="B192" s="42"/>
      <c r="C192" s="42"/>
      <c r="D192" s="43" t="s">
        <v>21</v>
      </c>
      <c r="E192" s="42"/>
      <c r="F192" s="42"/>
      <c r="G192" s="44"/>
      <c r="H192" s="148" t="s">
        <v>12</v>
      </c>
      <c r="I192" s="145"/>
      <c r="J192" s="145"/>
      <c r="K192" s="146"/>
      <c r="L192" s="48">
        <f ca="1">L193+L194</f>
        <v>0</v>
      </c>
      <c r="M192" s="48">
        <f ca="1">M193+M194</f>
        <v>0</v>
      </c>
      <c r="N192" s="48">
        <f ca="1">N193+N194</f>
        <v>0</v>
      </c>
      <c r="O192" s="48">
        <f ca="1">IF(L192&gt;0,N192*100/L192,0)</f>
        <v>0</v>
      </c>
      <c r="P192" s="48">
        <f ca="1">IF(M192&gt;0,N192*100/M192,0)</f>
        <v>0</v>
      </c>
    </row>
    <row r="193" spans="1:16" ht="18.75" hidden="1" x14ac:dyDescent="0.25">
      <c r="A193" s="137"/>
      <c r="B193" s="42"/>
      <c r="C193" s="42"/>
      <c r="D193" s="42"/>
      <c r="E193" s="296" t="s">
        <v>18</v>
      </c>
      <c r="F193" s="42"/>
      <c r="G193" s="44"/>
      <c r="H193" s="147" t="s">
        <v>12</v>
      </c>
      <c r="I193" s="145"/>
      <c r="J193" s="145"/>
      <c r="K193" s="146"/>
      <c r="L193" s="51">
        <v>0</v>
      </c>
      <c r="M193" s="51">
        <v>0</v>
      </c>
      <c r="N193" s="51">
        <v>0</v>
      </c>
      <c r="O193" s="51">
        <f>IF(L193&gt;0,N193*100/L193,0)</f>
        <v>0</v>
      </c>
      <c r="P193" s="51">
        <f>IF(M193&gt;0,N193*100/M193,0)</f>
        <v>0</v>
      </c>
    </row>
    <row r="194" spans="1:16" ht="18.75" x14ac:dyDescent="0.25">
      <c r="A194" s="137"/>
      <c r="B194" s="42"/>
      <c r="C194" s="42"/>
      <c r="D194" s="42"/>
      <c r="E194" s="52" t="s">
        <v>19</v>
      </c>
      <c r="F194" s="42"/>
      <c r="G194" s="44"/>
      <c r="H194" s="148" t="s">
        <v>12</v>
      </c>
      <c r="I194" s="145"/>
      <c r="J194" s="145"/>
      <c r="K194" s="146"/>
      <c r="L194" s="48">
        <f ca="1">IFERROR(__xludf.DUMMYFUNCTION("IMPORTRANGE(""https://docs.google.com/spreadsheets/d/1-uDff_7J0KD5mKrp0Vvzr7lt3OU09vwQwhkpOPPYv2Y/edit?usp=sharing"",""งบพรบ!CX83"")"),0)</f>
        <v>0</v>
      </c>
      <c r="M194" s="48">
        <f ca="1">IFERROR(__xludf.DUMMYFUNCTION("IMPORTRANGE(""https://docs.google.com/spreadsheets/d/1-uDff_7J0KD5mKrp0Vvzr7lt3OU09vwQwhkpOPPYv2Y/edit?usp=sharing"",""งบพรบ!DA83"")"),0)</f>
        <v>0</v>
      </c>
      <c r="N194" s="48">
        <f ca="1">IFERROR(__xludf.DUMMYFUNCTION("IMPORTRANGE(""https://docs.google.com/spreadsheets/d/1-uDff_7J0KD5mKrp0Vvzr7lt3OU09vwQwhkpOPPYv2Y/edit?usp=sharing"",""งบพรบ!DC83"")"),0)</f>
        <v>0</v>
      </c>
      <c r="O194" s="48">
        <f ca="1">IF(L194&gt;0,N194*100/L194,0)</f>
        <v>0</v>
      </c>
      <c r="P194" s="48">
        <f ca="1">IF(M194&gt;0,N194*100/M194,0)</f>
        <v>0</v>
      </c>
    </row>
    <row r="195" spans="1:16" ht="19.5" x14ac:dyDescent="0.3">
      <c r="A195" s="234"/>
      <c r="B195" s="235"/>
      <c r="C195" s="236" t="s">
        <v>72</v>
      </c>
      <c r="D195" s="237"/>
      <c r="E195" s="237"/>
      <c r="F195" s="237"/>
      <c r="G195" s="238"/>
      <c r="H195" s="239" t="s">
        <v>73</v>
      </c>
      <c r="I195" s="240">
        <f ca="1">I198</f>
        <v>4</v>
      </c>
      <c r="J195" s="240">
        <f>J198</f>
        <v>0</v>
      </c>
      <c r="K195" s="241">
        <f ca="1">IF(I195&gt;0,J195*100/I195,0)</f>
        <v>0</v>
      </c>
      <c r="L195" s="242"/>
      <c r="M195" s="242"/>
      <c r="N195" s="242"/>
      <c r="O195" s="242"/>
      <c r="P195" s="242"/>
    </row>
    <row r="196" spans="1:16" ht="19.5" x14ac:dyDescent="0.3">
      <c r="A196" s="137"/>
      <c r="B196" s="42"/>
      <c r="C196" s="198" t="s">
        <v>16</v>
      </c>
      <c r="D196" s="478" t="s">
        <v>17</v>
      </c>
      <c r="E196" s="42"/>
      <c r="F196" s="42"/>
      <c r="G196" s="44"/>
      <c r="H196" s="244" t="s">
        <v>12</v>
      </c>
      <c r="I196" s="46"/>
      <c r="J196" s="46"/>
      <c r="K196" s="47"/>
      <c r="L196" s="141">
        <f ca="1">IFERROR(__xludf.DUMMYFUNCTION("IMPORTRANGE(""https://docs.google.com/spreadsheets/d/1eHaY18a8A9IcSdp1K8H6x8fbOy06t2VsZHhMHf-1x7Y/edit?usp=sharing"",""แผน!AB83"")"),6000)</f>
        <v>6000</v>
      </c>
      <c r="M196" s="47"/>
      <c r="N196" s="245">
        <v>0</v>
      </c>
      <c r="O196" s="141">
        <f ca="1">IF(L196&gt;0,N196*100/L196,0)</f>
        <v>0</v>
      </c>
      <c r="P196" s="141">
        <f>IF(M196&gt;0,N196*100/M196,0)</f>
        <v>0</v>
      </c>
    </row>
    <row r="197" spans="1:16" ht="19.5" x14ac:dyDescent="0.3">
      <c r="A197" s="149"/>
      <c r="B197" s="150"/>
      <c r="C197" s="198" t="s">
        <v>16</v>
      </c>
      <c r="D197" s="473" t="s">
        <v>36</v>
      </c>
      <c r="E197" s="152"/>
      <c r="F197" s="152"/>
      <c r="G197" s="153"/>
      <c r="H197" s="154"/>
      <c r="I197" s="46"/>
      <c r="J197" s="46"/>
      <c r="K197" s="47"/>
      <c r="L197" s="47"/>
      <c r="M197" s="47"/>
      <c r="N197" s="47"/>
      <c r="O197" s="47"/>
      <c r="P197" s="47"/>
    </row>
    <row r="198" spans="1:16" ht="18.75" x14ac:dyDescent="0.25">
      <c r="A198" s="149"/>
      <c r="B198" s="150"/>
      <c r="C198" s="150"/>
      <c r="D198" s="160" t="s">
        <v>74</v>
      </c>
      <c r="E198" s="156"/>
      <c r="F198" s="156"/>
      <c r="G198" s="154"/>
      <c r="H198" s="251" t="s">
        <v>73</v>
      </c>
      <c r="I198" s="170">
        <f ca="1">IFERROR(__xludf.DUMMYFUNCTION("IMPORTRANGE(""https://docs.google.com/spreadsheets/d/1eHaY18a8A9IcSdp1K8H6x8fbOy06t2VsZHhMHf-1x7Y/edit?usp=sharing"",""แผน!AE83"")"),4)</f>
        <v>4</v>
      </c>
      <c r="J198" s="163">
        <v>0</v>
      </c>
      <c r="K198" s="48">
        <f ca="1">IF(I198&gt;0,J198*100/I198,0)</f>
        <v>0</v>
      </c>
      <c r="L198" s="47"/>
      <c r="M198" s="47"/>
      <c r="N198" s="47"/>
      <c r="O198" s="47"/>
      <c r="P198" s="47"/>
    </row>
    <row r="199" spans="1:16" ht="18.75" x14ac:dyDescent="0.25">
      <c r="A199" s="149"/>
      <c r="B199" s="150"/>
      <c r="C199" s="150"/>
      <c r="D199" s="160" t="s">
        <v>75</v>
      </c>
      <c r="E199" s="156"/>
      <c r="F199" s="156"/>
      <c r="G199" s="154"/>
      <c r="H199" s="231" t="s">
        <v>33</v>
      </c>
      <c r="I199" s="46"/>
      <c r="J199" s="170">
        <f>J200+J201</f>
        <v>0</v>
      </c>
      <c r="K199" s="47"/>
      <c r="L199" s="47"/>
      <c r="M199" s="47"/>
      <c r="N199" s="47"/>
      <c r="O199" s="47"/>
      <c r="P199" s="47"/>
    </row>
    <row r="200" spans="1:16" ht="18.75" x14ac:dyDescent="0.25">
      <c r="A200" s="149"/>
      <c r="B200" s="150"/>
      <c r="C200" s="150"/>
      <c r="D200" s="150"/>
      <c r="E200" s="160" t="s">
        <v>76</v>
      </c>
      <c r="F200" s="156"/>
      <c r="G200" s="154"/>
      <c r="H200" s="231" t="s">
        <v>33</v>
      </c>
      <c r="I200" s="46"/>
      <c r="J200" s="163">
        <v>0</v>
      </c>
      <c r="K200" s="47"/>
      <c r="L200" s="47"/>
      <c r="M200" s="47"/>
      <c r="N200" s="47"/>
      <c r="O200" s="47"/>
      <c r="P200" s="47"/>
    </row>
    <row r="201" spans="1:16" ht="18.75" x14ac:dyDescent="0.25">
      <c r="A201" s="149"/>
      <c r="B201" s="150"/>
      <c r="C201" s="150"/>
      <c r="D201" s="150"/>
      <c r="E201" s="160" t="s">
        <v>77</v>
      </c>
      <c r="F201" s="156"/>
      <c r="G201" s="154"/>
      <c r="H201" s="231" t="s">
        <v>33</v>
      </c>
      <c r="I201" s="46"/>
      <c r="J201" s="163">
        <v>0</v>
      </c>
      <c r="K201" s="47"/>
      <c r="L201" s="47"/>
      <c r="M201" s="47"/>
      <c r="N201" s="47"/>
      <c r="O201" s="47"/>
      <c r="P201" s="47"/>
    </row>
    <row r="202" spans="1:16" ht="19.5" hidden="1" x14ac:dyDescent="0.3">
      <c r="A202" s="234"/>
      <c r="B202" s="235"/>
      <c r="C202" s="236" t="s">
        <v>78</v>
      </c>
      <c r="D202" s="237"/>
      <c r="E202" s="237"/>
      <c r="F202" s="237"/>
      <c r="G202" s="238"/>
      <c r="H202" s="246" t="s">
        <v>79</v>
      </c>
      <c r="I202" s="240">
        <f ca="1">I209</f>
        <v>0</v>
      </c>
      <c r="J202" s="240">
        <f>J209</f>
        <v>0</v>
      </c>
      <c r="K202" s="241">
        <f ca="1">IF(I202&gt;0,J202*100/I202,0)</f>
        <v>0</v>
      </c>
      <c r="L202" s="242"/>
      <c r="M202" s="242"/>
      <c r="N202" s="242"/>
      <c r="O202" s="242"/>
      <c r="P202" s="242"/>
    </row>
    <row r="203" spans="1:16" ht="19.5" hidden="1" x14ac:dyDescent="0.3">
      <c r="A203" s="137"/>
      <c r="B203" s="42"/>
      <c r="C203" s="198" t="s">
        <v>16</v>
      </c>
      <c r="D203" s="478" t="s">
        <v>17</v>
      </c>
      <c r="E203" s="42"/>
      <c r="F203" s="42"/>
      <c r="G203" s="44"/>
      <c r="H203" s="244" t="s">
        <v>12</v>
      </c>
      <c r="I203" s="145"/>
      <c r="J203" s="145"/>
      <c r="K203" s="146"/>
      <c r="L203" s="141">
        <f ca="1">L204+L205+L206+L207</f>
        <v>0</v>
      </c>
      <c r="M203" s="47"/>
      <c r="N203" s="141">
        <f>N204+N205+N206+N207</f>
        <v>0</v>
      </c>
      <c r="O203" s="141">
        <f ca="1">IF(L203&gt;0,N203*100/L203,0)</f>
        <v>0</v>
      </c>
      <c r="P203" s="141">
        <f>IF(M203&gt;0,N203*100/M203,0)</f>
        <v>0</v>
      </c>
    </row>
    <row r="204" spans="1:16" ht="18.75" hidden="1" x14ac:dyDescent="0.25">
      <c r="A204" s="137"/>
      <c r="B204" s="229"/>
      <c r="C204" s="42"/>
      <c r="D204" s="52" t="s">
        <v>89</v>
      </c>
      <c r="E204" s="42"/>
      <c r="F204" s="42"/>
      <c r="G204" s="44"/>
      <c r="H204" s="144" t="s">
        <v>12</v>
      </c>
      <c r="I204" s="145"/>
      <c r="J204" s="145"/>
      <c r="K204" s="146"/>
      <c r="L204" s="48">
        <f ca="1">IFERROR(__xludf.DUMMYFUNCTION("IMPORTRANGE(""https://docs.google.com/spreadsheets/d/1eHaY18a8A9IcSdp1K8H6x8fbOy06t2VsZHhMHf-1x7Y/edit?usp=sharing"",""แผน!AG83"")"),0)</f>
        <v>0</v>
      </c>
      <c r="M204" s="47"/>
      <c r="N204" s="249">
        <v>0</v>
      </c>
      <c r="O204" s="146"/>
      <c r="P204" s="47"/>
    </row>
    <row r="205" spans="1:16" ht="18.75" hidden="1" x14ac:dyDescent="0.25">
      <c r="A205" s="228"/>
      <c r="B205" s="229"/>
      <c r="C205" s="42"/>
      <c r="D205" s="52" t="s">
        <v>82</v>
      </c>
      <c r="E205" s="42"/>
      <c r="F205" s="42"/>
      <c r="G205" s="44"/>
      <c r="H205" s="45" t="s">
        <v>12</v>
      </c>
      <c r="I205" s="46"/>
      <c r="J205" s="46"/>
      <c r="K205" s="47"/>
      <c r="L205" s="48">
        <f ca="1">IFERROR(__xludf.DUMMYFUNCTION("IMPORTRANGE(""https://docs.google.com/spreadsheets/d/1eHaY18a8A9IcSdp1K8H6x8fbOy06t2VsZHhMHf-1x7Y/edit?usp=sharing"",""แผน!AI83"")"),0)</f>
        <v>0</v>
      </c>
      <c r="M205" s="47"/>
      <c r="N205" s="249">
        <v>0</v>
      </c>
      <c r="O205" s="146"/>
      <c r="P205" s="47"/>
    </row>
    <row r="206" spans="1:16" ht="18.75" hidden="1" x14ac:dyDescent="0.25">
      <c r="A206" s="228"/>
      <c r="B206" s="229"/>
      <c r="C206" s="42"/>
      <c r="D206" s="52" t="s">
        <v>90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IFERROR(__xludf.DUMMYFUNCTION("IMPORTRANGE(""https://docs.google.com/spreadsheets/d/1eHaY18a8A9IcSdp1K8H6x8fbOy06t2VsZHhMHf-1x7Y/edit?usp=sharing"",""แผน!AJ83"")"),0)</f>
        <v>0</v>
      </c>
      <c r="M206" s="47"/>
      <c r="N206" s="249">
        <v>0</v>
      </c>
      <c r="O206" s="146"/>
      <c r="P206" s="47"/>
    </row>
    <row r="207" spans="1:16" ht="12.75" hidden="1" x14ac:dyDescent="0.2">
      <c r="A207" s="166"/>
      <c r="B207" s="167"/>
      <c r="C207" s="17"/>
      <c r="D207" s="17"/>
      <c r="E207" s="17"/>
      <c r="F207" s="17"/>
      <c r="G207" s="18"/>
      <c r="H207" s="18"/>
      <c r="I207" s="19"/>
      <c r="J207" s="19"/>
      <c r="K207" s="20"/>
      <c r="L207" s="20"/>
      <c r="M207" s="20"/>
      <c r="N207" s="20"/>
      <c r="O207" s="20"/>
      <c r="P207" s="20"/>
    </row>
    <row r="208" spans="1:16" ht="19.5" hidden="1" x14ac:dyDescent="0.3">
      <c r="A208" s="149"/>
      <c r="B208" s="150"/>
      <c r="C208" s="198" t="s">
        <v>16</v>
      </c>
      <c r="D208" s="473" t="s">
        <v>36</v>
      </c>
      <c r="E208" s="152"/>
      <c r="F208" s="152"/>
      <c r="G208" s="153"/>
      <c r="H208" s="154"/>
      <c r="I208" s="145"/>
      <c r="J208" s="145"/>
      <c r="K208" s="146"/>
      <c r="L208" s="146"/>
      <c r="M208" s="146"/>
      <c r="N208" s="146"/>
      <c r="O208" s="146"/>
      <c r="P208" s="146"/>
    </row>
    <row r="209" spans="1:16" ht="18.75" hidden="1" x14ac:dyDescent="0.25">
      <c r="A209" s="149"/>
      <c r="B209" s="150"/>
      <c r="C209" s="150"/>
      <c r="D209" s="155" t="s">
        <v>84</v>
      </c>
      <c r="E209" s="156"/>
      <c r="F209" s="156"/>
      <c r="G209" s="154"/>
      <c r="H209" s="250" t="s">
        <v>79</v>
      </c>
      <c r="I209" s="170">
        <f ca="1">IFERROR(__xludf.DUMMYFUNCTION("IMPORTRANGE(""https://docs.google.com/spreadsheets/d/1eHaY18a8A9IcSdp1K8H6x8fbOy06t2VsZHhMHf-1x7Y/edit?usp=sharing"",""แผน!AK83"")"),0)</f>
        <v>0</v>
      </c>
      <c r="J209" s="163">
        <v>0</v>
      </c>
      <c r="K209" s="164">
        <f ca="1">IF(I209&gt;0,J209*100/I209,0)</f>
        <v>0</v>
      </c>
      <c r="L209" s="47"/>
      <c r="M209" s="47"/>
      <c r="N209" s="47"/>
      <c r="O209" s="47"/>
      <c r="P209" s="47"/>
    </row>
    <row r="210" spans="1:16" ht="18.75" hidden="1" x14ac:dyDescent="0.25">
      <c r="A210" s="149"/>
      <c r="B210" s="150"/>
      <c r="C210" s="150"/>
      <c r="D210" s="160" t="s">
        <v>48</v>
      </c>
      <c r="E210" s="156"/>
      <c r="F210" s="156"/>
      <c r="G210" s="154"/>
      <c r="H210" s="154"/>
      <c r="I210" s="46"/>
      <c r="J210" s="46"/>
      <c r="K210" s="146"/>
      <c r="L210" s="47"/>
      <c r="M210" s="47"/>
      <c r="N210" s="47"/>
      <c r="O210" s="47"/>
      <c r="P210" s="47"/>
    </row>
    <row r="211" spans="1:16" ht="18.75" hidden="1" x14ac:dyDescent="0.25">
      <c r="A211" s="149"/>
      <c r="B211" s="150"/>
      <c r="C211" s="150"/>
      <c r="D211" s="156"/>
      <c r="E211" s="160" t="s">
        <v>85</v>
      </c>
      <c r="F211" s="156"/>
      <c r="G211" s="154"/>
      <c r="H211" s="250" t="s">
        <v>79</v>
      </c>
      <c r="I211" s="170">
        <f ca="1">IFERROR(__xludf.DUMMYFUNCTION("IMPORTRANGE(""https://docs.google.com/spreadsheets/d/1eHaY18a8A9IcSdp1K8H6x8fbOy06t2VsZHhMHf-1x7Y/edit?usp=sharing"",""แผน!AK83"")"),0)</f>
        <v>0</v>
      </c>
      <c r="J211" s="163">
        <v>0</v>
      </c>
      <c r="K211" s="164">
        <f ca="1">IF(I211&gt;0,J211*100/I211,0)</f>
        <v>0</v>
      </c>
      <c r="L211" s="47"/>
      <c r="M211" s="47"/>
      <c r="N211" s="47"/>
      <c r="O211" s="47"/>
      <c r="P211" s="47"/>
    </row>
    <row r="212" spans="1:16" ht="18.75" hidden="1" x14ac:dyDescent="0.25">
      <c r="A212" s="149"/>
      <c r="B212" s="150"/>
      <c r="C212" s="150"/>
      <c r="D212" s="156"/>
      <c r="E212" s="160" t="s">
        <v>86</v>
      </c>
      <c r="F212" s="156"/>
      <c r="G212" s="156"/>
      <c r="H212" s="251" t="s">
        <v>87</v>
      </c>
      <c r="I212" s="170">
        <f ca="1">IFERROR(__xludf.DUMMYFUNCTION("IMPORTRANGE(""https://docs.google.com/spreadsheets/d/1eHaY18a8A9IcSdp1K8H6x8fbOy06t2VsZHhMHf-1x7Y/edit?usp=sharing"",""แผน!AK83"")"),0)</f>
        <v>0</v>
      </c>
      <c r="J212" s="163">
        <v>0</v>
      </c>
      <c r="K212" s="164">
        <f ca="1">IF(I212&gt;0,J212*100/I212,0)</f>
        <v>0</v>
      </c>
      <c r="L212" s="47"/>
      <c r="M212" s="47"/>
      <c r="N212" s="47"/>
      <c r="O212" s="47"/>
      <c r="P212" s="47"/>
    </row>
    <row r="213" spans="1:16" ht="19.5" hidden="1" x14ac:dyDescent="0.3">
      <c r="A213" s="234"/>
      <c r="B213" s="235"/>
      <c r="C213" s="236" t="s">
        <v>88</v>
      </c>
      <c r="D213" s="237"/>
      <c r="E213" s="237"/>
      <c r="F213" s="237"/>
      <c r="G213" s="238"/>
      <c r="H213" s="246" t="s">
        <v>79</v>
      </c>
      <c r="I213" s="240">
        <f ca="1">I220</f>
        <v>0</v>
      </c>
      <c r="J213" s="240">
        <f>J220</f>
        <v>0</v>
      </c>
      <c r="K213" s="241">
        <f ca="1">IF(I213&gt;0,J213*100/I213,0)</f>
        <v>0</v>
      </c>
      <c r="L213" s="242"/>
      <c r="M213" s="242"/>
      <c r="N213" s="242"/>
      <c r="O213" s="242"/>
      <c r="P213" s="242"/>
    </row>
    <row r="214" spans="1:16" ht="19.5" hidden="1" x14ac:dyDescent="0.3">
      <c r="A214" s="137"/>
      <c r="B214" s="42"/>
      <c r="C214" s="198" t="s">
        <v>16</v>
      </c>
      <c r="D214" s="478" t="s">
        <v>17</v>
      </c>
      <c r="E214" s="42"/>
      <c r="F214" s="42"/>
      <c r="G214" s="44"/>
      <c r="H214" s="244" t="s">
        <v>12</v>
      </c>
      <c r="I214" s="145"/>
      <c r="J214" s="145"/>
      <c r="K214" s="146"/>
      <c r="L214" s="141">
        <f ca="1">L215+L216+L217</f>
        <v>0</v>
      </c>
      <c r="M214" s="47"/>
      <c r="N214" s="141">
        <f>N215+N216+N217</f>
        <v>0</v>
      </c>
      <c r="O214" s="141">
        <f ca="1">IF(L214&gt;0,N214*100/L214,0)</f>
        <v>0</v>
      </c>
      <c r="P214" s="141">
        <f>IF(M214&gt;0,N214*100/M214,0)</f>
        <v>0</v>
      </c>
    </row>
    <row r="215" spans="1:16" ht="18.75" hidden="1" x14ac:dyDescent="0.25">
      <c r="A215" s="137"/>
      <c r="B215" s="229"/>
      <c r="C215" s="42"/>
      <c r="D215" s="52" t="s">
        <v>89</v>
      </c>
      <c r="E215" s="42"/>
      <c r="F215" s="42"/>
      <c r="G215" s="44"/>
      <c r="H215" s="144" t="s">
        <v>12</v>
      </c>
      <c r="I215" s="145"/>
      <c r="J215" s="145"/>
      <c r="K215" s="146"/>
      <c r="L215" s="48">
        <f ca="1">IFERROR(__xludf.DUMMYFUNCTION("IMPORTRANGE(""https://docs.google.com/spreadsheets/d/1eHaY18a8A9IcSdp1K8H6x8fbOy06t2VsZHhMHf-1x7Y/edit?usp=sharing"",""แผน!AM83"")"),0)</f>
        <v>0</v>
      </c>
      <c r="M215" s="47"/>
      <c r="N215" s="249">
        <v>0</v>
      </c>
      <c r="O215" s="146"/>
      <c r="P215" s="47"/>
    </row>
    <row r="216" spans="1:16" ht="18.75" hidden="1" x14ac:dyDescent="0.25">
      <c r="A216" s="228"/>
      <c r="B216" s="229"/>
      <c r="C216" s="229"/>
      <c r="D216" s="52" t="s">
        <v>90</v>
      </c>
      <c r="E216" s="42"/>
      <c r="F216" s="42"/>
      <c r="G216" s="44"/>
      <c r="H216" s="144" t="s">
        <v>12</v>
      </c>
      <c r="I216" s="46"/>
      <c r="J216" s="46"/>
      <c r="K216" s="47"/>
      <c r="L216" s="48">
        <f ca="1">IFERROR(__xludf.DUMMYFUNCTION("IMPORTRANGE(""https://docs.google.com/spreadsheets/d/1eHaY18a8A9IcSdp1K8H6x8fbOy06t2VsZHhMHf-1x7Y/edit?usp=sharing"",""แผน!AN83"")"),0)</f>
        <v>0</v>
      </c>
      <c r="M216" s="47"/>
      <c r="N216" s="249">
        <v>0</v>
      </c>
      <c r="O216" s="146"/>
      <c r="P216" s="47"/>
    </row>
    <row r="217" spans="1:16" ht="18.75" hidden="1" x14ac:dyDescent="0.25">
      <c r="A217" s="228"/>
      <c r="B217" s="229"/>
      <c r="C217" s="229"/>
      <c r="D217" s="52" t="s">
        <v>82</v>
      </c>
      <c r="E217" s="42"/>
      <c r="F217" s="42"/>
      <c r="G217" s="44"/>
      <c r="H217" s="144" t="s">
        <v>12</v>
      </c>
      <c r="I217" s="46"/>
      <c r="J217" s="46"/>
      <c r="K217" s="47"/>
      <c r="L217" s="48">
        <f ca="1">IFERROR(__xludf.DUMMYFUNCTION("IMPORTRANGE(""https://docs.google.com/spreadsheets/d/1eHaY18a8A9IcSdp1K8H6x8fbOy06t2VsZHhMHf-1x7Y/edit?usp=sharing"",""แผน!AO83"")"),0)</f>
        <v>0</v>
      </c>
      <c r="M217" s="47"/>
      <c r="N217" s="249">
        <v>0</v>
      </c>
      <c r="O217" s="146"/>
      <c r="P217" s="47"/>
    </row>
    <row r="218" spans="1:16" ht="19.5" hidden="1" x14ac:dyDescent="0.3">
      <c r="A218" s="149"/>
      <c r="B218" s="150"/>
      <c r="C218" s="252" t="s">
        <v>16</v>
      </c>
      <c r="D218" s="473" t="s">
        <v>36</v>
      </c>
      <c r="E218" s="152"/>
      <c r="F218" s="152"/>
      <c r="G218" s="153"/>
      <c r="H218" s="154"/>
      <c r="I218" s="145"/>
      <c r="J218" s="46"/>
      <c r="K218" s="47"/>
      <c r="L218" s="47"/>
      <c r="M218" s="47"/>
      <c r="N218" s="47"/>
      <c r="O218" s="146"/>
      <c r="P218" s="146"/>
    </row>
    <row r="219" spans="1:16" ht="18.75" hidden="1" x14ac:dyDescent="0.25">
      <c r="A219" s="149"/>
      <c r="B219" s="150"/>
      <c r="C219" s="150"/>
      <c r="D219" s="155" t="s">
        <v>91</v>
      </c>
      <c r="E219" s="156"/>
      <c r="F219" s="156"/>
      <c r="G219" s="154"/>
      <c r="H219" s="250" t="s">
        <v>79</v>
      </c>
      <c r="I219" s="170">
        <f ca="1">IFERROR(__xludf.DUMMYFUNCTION("IMPORTRANGE(""https://docs.google.com/spreadsheets/d/1eHaY18a8A9IcSdp1K8H6x8fbOy06t2VsZHhMHf-1x7Y/edit?usp=sharing"",""แผน!AP83"")"),0)</f>
        <v>0</v>
      </c>
      <c r="J219" s="163">
        <v>0</v>
      </c>
      <c r="K219" s="48">
        <f ca="1">IF(I219&gt;0,J219*100/I219,0)</f>
        <v>0</v>
      </c>
      <c r="L219" s="47"/>
      <c r="M219" s="47"/>
      <c r="N219" s="47"/>
      <c r="O219" s="47"/>
      <c r="P219" s="47"/>
    </row>
    <row r="220" spans="1:16" ht="18.75" hidden="1" x14ac:dyDescent="0.25">
      <c r="A220" s="149"/>
      <c r="B220" s="150"/>
      <c r="C220" s="150"/>
      <c r="D220" s="155" t="s">
        <v>92</v>
      </c>
      <c r="E220" s="156"/>
      <c r="F220" s="156"/>
      <c r="G220" s="154"/>
      <c r="H220" s="250" t="s">
        <v>79</v>
      </c>
      <c r="I220" s="170">
        <f ca="1">IFERROR(__xludf.DUMMYFUNCTION("IMPORTRANGE(""https://docs.google.com/spreadsheets/d/1eHaY18a8A9IcSdp1K8H6x8fbOy06t2VsZHhMHf-1x7Y/edit?usp=sharing"",""แผน!AP83"")"),0)</f>
        <v>0</v>
      </c>
      <c r="J220" s="163">
        <v>0</v>
      </c>
      <c r="K220" s="48">
        <f ca="1">IF(I220&gt;0,J220*100/I220,0)</f>
        <v>0</v>
      </c>
      <c r="L220" s="47"/>
      <c r="M220" s="47"/>
      <c r="N220" s="47"/>
      <c r="O220" s="47"/>
      <c r="P220" s="47"/>
    </row>
    <row r="221" spans="1:16" ht="19.5" hidden="1" x14ac:dyDescent="0.3">
      <c r="A221" s="234"/>
      <c r="B221" s="235"/>
      <c r="C221" s="236" t="s">
        <v>93</v>
      </c>
      <c r="D221" s="237"/>
      <c r="E221" s="237"/>
      <c r="F221" s="237"/>
      <c r="G221" s="238"/>
      <c r="H221" s="239" t="s">
        <v>94</v>
      </c>
      <c r="I221" s="240">
        <f ca="1">I229</f>
        <v>0</v>
      </c>
      <c r="J221" s="240">
        <f>J229</f>
        <v>0</v>
      </c>
      <c r="K221" s="241">
        <f ca="1">IF(I221&gt;0,J221*100/I221,0)</f>
        <v>0</v>
      </c>
      <c r="L221" s="242"/>
      <c r="M221" s="242"/>
      <c r="N221" s="242"/>
      <c r="O221" s="242"/>
      <c r="P221" s="242"/>
    </row>
    <row r="222" spans="1:16" ht="19.5" hidden="1" x14ac:dyDescent="0.3">
      <c r="A222" s="137"/>
      <c r="B222" s="42"/>
      <c r="C222" s="198" t="s">
        <v>16</v>
      </c>
      <c r="D222" s="478" t="s">
        <v>17</v>
      </c>
      <c r="E222" s="42"/>
      <c r="F222" s="42"/>
      <c r="G222" s="44"/>
      <c r="H222" s="244" t="s">
        <v>12</v>
      </c>
      <c r="I222" s="145"/>
      <c r="J222" s="145"/>
      <c r="K222" s="146"/>
      <c r="L222" s="141">
        <f ca="1">L223+L224+L225</f>
        <v>0</v>
      </c>
      <c r="M222" s="47"/>
      <c r="N222" s="141">
        <f>N223+N224+N225</f>
        <v>0</v>
      </c>
      <c r="O222" s="141">
        <f ca="1">IF(L222&gt;0,N222*100/L222,0)</f>
        <v>0</v>
      </c>
      <c r="P222" s="141">
        <f>IF(M222&gt;0,N222*100/M222,0)</f>
        <v>0</v>
      </c>
    </row>
    <row r="223" spans="1:16" ht="18.75" hidden="1" x14ac:dyDescent="0.25">
      <c r="A223" s="137"/>
      <c r="B223" s="229"/>
      <c r="C223" s="42"/>
      <c r="D223" s="52" t="s">
        <v>89</v>
      </c>
      <c r="E223" s="42"/>
      <c r="F223" s="42"/>
      <c r="G223" s="44"/>
      <c r="H223" s="144" t="s">
        <v>12</v>
      </c>
      <c r="I223" s="145"/>
      <c r="J223" s="145"/>
      <c r="K223" s="146"/>
      <c r="L223" s="48">
        <f ca="1">IFERROR(__xludf.DUMMYFUNCTION("IMPORTRANGE(""https://docs.google.com/spreadsheets/d/1eHaY18a8A9IcSdp1K8H6x8fbOy06t2VsZHhMHf-1x7Y/edit?usp=sharing"",""แผน!AR83"")"),0)</f>
        <v>0</v>
      </c>
      <c r="M223" s="47"/>
      <c r="N223" s="249">
        <v>0</v>
      </c>
      <c r="O223" s="146"/>
      <c r="P223" s="47"/>
    </row>
    <row r="224" spans="1:16" ht="18.75" hidden="1" x14ac:dyDescent="0.25">
      <c r="A224" s="228"/>
      <c r="B224" s="229"/>
      <c r="C224" s="229"/>
      <c r="D224" s="52" t="s">
        <v>162</v>
      </c>
      <c r="E224" s="42"/>
      <c r="F224" s="42"/>
      <c r="G224" s="44"/>
      <c r="H224" s="144" t="s">
        <v>12</v>
      </c>
      <c r="I224" s="46"/>
      <c r="J224" s="46"/>
      <c r="K224" s="47"/>
      <c r="L224" s="48">
        <f ca="1">IFERROR(__xludf.DUMMYFUNCTION("IMPORTRANGE(""https://docs.google.com/spreadsheets/d/1eHaY18a8A9IcSdp1K8H6x8fbOy06t2VsZHhMHf-1x7Y/edit?usp=sharing"",""แผน!AS83"")"),0)</f>
        <v>0</v>
      </c>
      <c r="M224" s="47"/>
      <c r="N224" s="249">
        <v>0</v>
      </c>
      <c r="O224" s="146"/>
      <c r="P224" s="47"/>
    </row>
    <row r="225" spans="1:16" ht="18.75" hidden="1" x14ac:dyDescent="0.25">
      <c r="A225" s="228"/>
      <c r="B225" s="229"/>
      <c r="C225" s="229"/>
      <c r="D225" s="52" t="s">
        <v>82</v>
      </c>
      <c r="E225" s="42"/>
      <c r="F225" s="42"/>
      <c r="G225" s="44"/>
      <c r="H225" s="144" t="s">
        <v>12</v>
      </c>
      <c r="I225" s="46"/>
      <c r="J225" s="46"/>
      <c r="K225" s="47"/>
      <c r="L225" s="48">
        <f ca="1">IFERROR(__xludf.DUMMYFUNCTION("IMPORTRANGE(""https://docs.google.com/spreadsheets/d/1eHaY18a8A9IcSdp1K8H6x8fbOy06t2VsZHhMHf-1x7Y/edit?usp=sharing"",""แผน!AT83"")"),0)</f>
        <v>0</v>
      </c>
      <c r="M225" s="47"/>
      <c r="N225" s="249">
        <v>0</v>
      </c>
      <c r="O225" s="146"/>
      <c r="P225" s="47"/>
    </row>
    <row r="226" spans="1:16" ht="19.5" hidden="1" x14ac:dyDescent="0.3">
      <c r="A226" s="149"/>
      <c r="B226" s="150"/>
      <c r="C226" s="252" t="s">
        <v>16</v>
      </c>
      <c r="D226" s="473" t="s">
        <v>36</v>
      </c>
      <c r="E226" s="152"/>
      <c r="F226" s="152"/>
      <c r="G226" s="153"/>
      <c r="H226" s="154"/>
      <c r="I226" s="145"/>
      <c r="J226" s="145"/>
      <c r="K226" s="146"/>
      <c r="L226" s="146"/>
      <c r="M226" s="146"/>
      <c r="N226" s="146"/>
      <c r="O226" s="146"/>
      <c r="P226" s="146"/>
    </row>
    <row r="227" spans="1:16" ht="18.75" hidden="1" x14ac:dyDescent="0.25">
      <c r="A227" s="149"/>
      <c r="B227" s="150"/>
      <c r="C227" s="150"/>
      <c r="D227" s="52" t="s">
        <v>97</v>
      </c>
      <c r="E227" s="156"/>
      <c r="F227" s="156"/>
      <c r="G227" s="154"/>
      <c r="H227" s="154"/>
      <c r="I227" s="46"/>
      <c r="J227" s="46"/>
      <c r="K227" s="146"/>
      <c r="L227" s="146"/>
      <c r="M227" s="146"/>
      <c r="N227" s="146"/>
      <c r="O227" s="146"/>
      <c r="P227" s="146"/>
    </row>
    <row r="228" spans="1:16" ht="18.75" hidden="1" x14ac:dyDescent="0.25">
      <c r="A228" s="149"/>
      <c r="B228" s="150"/>
      <c r="C228" s="150"/>
      <c r="D228" s="150"/>
      <c r="E228" s="155" t="s">
        <v>98</v>
      </c>
      <c r="F228" s="156"/>
      <c r="G228" s="154"/>
      <c r="H228" s="251" t="s">
        <v>94</v>
      </c>
      <c r="I228" s="170">
        <f ca="1">IFERROR(__xludf.DUMMYFUNCTION("IMPORTRANGE(""https://docs.google.com/spreadsheets/d/1eHaY18a8A9IcSdp1K8H6x8fbOy06t2VsZHhMHf-1x7Y/edit?usp=sharing"",""แผน!AV83"")"),0)</f>
        <v>0</v>
      </c>
      <c r="J228" s="163">
        <v>0</v>
      </c>
      <c r="K228" s="164">
        <f ca="1">IF(I228&gt;0,J228*100/I228,0)</f>
        <v>0</v>
      </c>
      <c r="L228" s="146"/>
      <c r="M228" s="146"/>
      <c r="N228" s="146"/>
      <c r="O228" s="146"/>
      <c r="P228" s="146"/>
    </row>
    <row r="229" spans="1:16" ht="18.75" hidden="1" x14ac:dyDescent="0.25">
      <c r="A229" s="149"/>
      <c r="B229" s="150"/>
      <c r="C229" s="150"/>
      <c r="D229" s="150"/>
      <c r="E229" s="155" t="s">
        <v>99</v>
      </c>
      <c r="F229" s="156"/>
      <c r="G229" s="154"/>
      <c r="H229" s="251" t="s">
        <v>94</v>
      </c>
      <c r="I229" s="170">
        <f ca="1">IFERROR(__xludf.DUMMYFUNCTION("IMPORTRANGE(""https://docs.google.com/spreadsheets/d/1eHaY18a8A9IcSdp1K8H6x8fbOy06t2VsZHhMHf-1x7Y/edit?usp=sharing"",""แผน!AV83"")"),0)</f>
        <v>0</v>
      </c>
      <c r="J229" s="163">
        <v>0</v>
      </c>
      <c r="K229" s="164">
        <f ca="1">IF(I229&gt;0,J229*100/I229,0)</f>
        <v>0</v>
      </c>
      <c r="L229" s="47"/>
      <c r="M229" s="47"/>
      <c r="N229" s="47"/>
      <c r="O229" s="47"/>
      <c r="P229" s="47"/>
    </row>
    <row r="230" spans="1:16" ht="18.75" hidden="1" x14ac:dyDescent="0.25">
      <c r="A230" s="149"/>
      <c r="B230" s="150"/>
      <c r="C230" s="150"/>
      <c r="D230" s="52" t="s">
        <v>100</v>
      </c>
      <c r="E230" s="156"/>
      <c r="F230" s="156"/>
      <c r="G230" s="154"/>
      <c r="H230" s="251" t="s">
        <v>33</v>
      </c>
      <c r="I230" s="170">
        <f ca="1">IFERROR(__xludf.DUMMYFUNCTION("IMPORTRANGE(""https://docs.google.com/spreadsheets/d/1eHaY18a8A9IcSdp1K8H6x8fbOy06t2VsZHhMHf-1x7Y/edit?usp=sharing"",""แผน!AU83"")"),0)</f>
        <v>0</v>
      </c>
      <c r="J230" s="163">
        <v>0</v>
      </c>
      <c r="K230" s="164">
        <f ca="1">IF(I230&gt;0,J230*100/I230,0)</f>
        <v>0</v>
      </c>
      <c r="L230" s="47"/>
      <c r="M230" s="47"/>
      <c r="N230" s="47"/>
      <c r="O230" s="47"/>
      <c r="P230" s="47"/>
    </row>
    <row r="231" spans="1:16" ht="19.5" hidden="1" x14ac:dyDescent="0.3">
      <c r="A231" s="253"/>
      <c r="B231" s="254"/>
      <c r="C231" s="255" t="s">
        <v>101</v>
      </c>
      <c r="D231" s="256"/>
      <c r="E231" s="256"/>
      <c r="F231" s="256"/>
      <c r="G231" s="257"/>
      <c r="H231" s="258" t="s">
        <v>33</v>
      </c>
      <c r="I231" s="259">
        <f ca="1">I242+I253</f>
        <v>0</v>
      </c>
      <c r="J231" s="259">
        <f>J242+J253</f>
        <v>0</v>
      </c>
      <c r="K231" s="260">
        <f ca="1">IF(I231&gt;0,J231*100/I231,0)</f>
        <v>0</v>
      </c>
      <c r="L231" s="261"/>
      <c r="M231" s="261"/>
      <c r="N231" s="261"/>
      <c r="O231" s="261"/>
      <c r="P231" s="261"/>
    </row>
    <row r="232" spans="1:16" ht="19.5" hidden="1" x14ac:dyDescent="0.3">
      <c r="A232" s="262"/>
      <c r="B232" s="263"/>
      <c r="C232" s="264" t="s">
        <v>16</v>
      </c>
      <c r="D232" s="265" t="s">
        <v>17</v>
      </c>
      <c r="E232" s="263"/>
      <c r="F232" s="263"/>
      <c r="G232" s="266"/>
      <c r="H232" s="267" t="s">
        <v>12</v>
      </c>
      <c r="I232" s="268"/>
      <c r="J232" s="268"/>
      <c r="K232" s="269"/>
      <c r="L232" s="270">
        <f ca="1">L243+L254</f>
        <v>0</v>
      </c>
      <c r="M232" s="271"/>
      <c r="N232" s="270">
        <f>N243+N254</f>
        <v>0</v>
      </c>
      <c r="O232" s="271"/>
      <c r="P232" s="271"/>
    </row>
    <row r="233" spans="1:16" ht="18.75" hidden="1" x14ac:dyDescent="0.25">
      <c r="A233" s="262"/>
      <c r="B233" s="272"/>
      <c r="C233" s="263"/>
      <c r="D233" s="296" t="s">
        <v>89</v>
      </c>
      <c r="E233" s="263"/>
      <c r="F233" s="263"/>
      <c r="G233" s="266"/>
      <c r="H233" s="147" t="s">
        <v>12</v>
      </c>
      <c r="I233" s="268"/>
      <c r="J233" s="268"/>
      <c r="K233" s="269"/>
      <c r="L233" s="51">
        <f ca="1">L244+L255</f>
        <v>0</v>
      </c>
      <c r="M233" s="271"/>
      <c r="N233" s="51">
        <f>N244+N255</f>
        <v>0</v>
      </c>
      <c r="O233" s="271"/>
      <c r="P233" s="271"/>
    </row>
    <row r="234" spans="1:16" ht="18.75" hidden="1" x14ac:dyDescent="0.25">
      <c r="A234" s="273"/>
      <c r="B234" s="272"/>
      <c r="C234" s="272"/>
      <c r="D234" s="296" t="s">
        <v>82</v>
      </c>
      <c r="E234" s="263"/>
      <c r="F234" s="263"/>
      <c r="G234" s="266"/>
      <c r="H234" s="147" t="s">
        <v>12</v>
      </c>
      <c r="I234" s="274"/>
      <c r="J234" s="274"/>
      <c r="K234" s="271"/>
      <c r="L234" s="51">
        <f ca="1">L245+L256</f>
        <v>0</v>
      </c>
      <c r="M234" s="271"/>
      <c r="N234" s="51">
        <f>N245+N256</f>
        <v>0</v>
      </c>
      <c r="O234" s="271"/>
      <c r="P234" s="271"/>
    </row>
    <row r="235" spans="1:16" ht="18.75" hidden="1" x14ac:dyDescent="0.25">
      <c r="A235" s="273"/>
      <c r="B235" s="272"/>
      <c r="C235" s="272"/>
      <c r="D235" s="296" t="s">
        <v>102</v>
      </c>
      <c r="E235" s="263"/>
      <c r="F235" s="263"/>
      <c r="G235" s="266"/>
      <c r="H235" s="147" t="s">
        <v>12</v>
      </c>
      <c r="I235" s="274"/>
      <c r="J235" s="274"/>
      <c r="K235" s="271"/>
      <c r="L235" s="51">
        <f ca="1">L246+L257</f>
        <v>0</v>
      </c>
      <c r="M235" s="271"/>
      <c r="N235" s="51">
        <f>N246+N257</f>
        <v>0</v>
      </c>
      <c r="O235" s="271"/>
      <c r="P235" s="271"/>
    </row>
    <row r="236" spans="1:16" ht="18.75" hidden="1" x14ac:dyDescent="0.25">
      <c r="A236" s="273"/>
      <c r="B236" s="272"/>
      <c r="C236" s="272"/>
      <c r="D236" s="296" t="s">
        <v>103</v>
      </c>
      <c r="E236" s="263"/>
      <c r="F236" s="263"/>
      <c r="G236" s="266"/>
      <c r="H236" s="147" t="s">
        <v>12</v>
      </c>
      <c r="I236" s="274"/>
      <c r="J236" s="274"/>
      <c r="K236" s="271"/>
      <c r="L236" s="51">
        <f ca="1">L247+L258</f>
        <v>0</v>
      </c>
      <c r="M236" s="271"/>
      <c r="N236" s="51">
        <f>N247+N258</f>
        <v>0</v>
      </c>
      <c r="O236" s="271"/>
      <c r="P236" s="271"/>
    </row>
    <row r="237" spans="1:16" ht="19.5" hidden="1" x14ac:dyDescent="0.3">
      <c r="A237" s="275"/>
      <c r="B237" s="276"/>
      <c r="C237" s="277" t="s">
        <v>16</v>
      </c>
      <c r="D237" s="451" t="s">
        <v>36</v>
      </c>
      <c r="E237" s="279"/>
      <c r="F237" s="279"/>
      <c r="G237" s="280"/>
      <c r="H237" s="281"/>
      <c r="I237" s="268"/>
      <c r="J237" s="274"/>
      <c r="K237" s="271"/>
      <c r="L237" s="271"/>
      <c r="M237" s="271"/>
      <c r="N237" s="271"/>
      <c r="O237" s="269"/>
      <c r="P237" s="269"/>
    </row>
    <row r="238" spans="1:16" ht="18.75" hidden="1" x14ac:dyDescent="0.25">
      <c r="A238" s="275"/>
      <c r="B238" s="276"/>
      <c r="C238" s="276"/>
      <c r="D238" s="282" t="s">
        <v>104</v>
      </c>
      <c r="E238" s="283"/>
      <c r="F238" s="283"/>
      <c r="G238" s="281"/>
      <c r="H238" s="284" t="s">
        <v>33</v>
      </c>
      <c r="I238" s="201">
        <f ca="1">I249+I260</f>
        <v>0</v>
      </c>
      <c r="J238" s="201">
        <f>J249+J260</f>
        <v>0</v>
      </c>
      <c r="K238" s="51">
        <f ca="1">IF(I238&gt;0,J238*100/I238,0)</f>
        <v>0</v>
      </c>
      <c r="L238" s="271"/>
      <c r="M238" s="271"/>
      <c r="N238" s="271"/>
      <c r="O238" s="271"/>
      <c r="P238" s="271"/>
    </row>
    <row r="239" spans="1:16" ht="18.75" hidden="1" x14ac:dyDescent="0.25">
      <c r="A239" s="275"/>
      <c r="B239" s="276"/>
      <c r="C239" s="276"/>
      <c r="D239" s="285" t="s">
        <v>41</v>
      </c>
      <c r="E239" s="283"/>
      <c r="F239" s="283"/>
      <c r="G239" s="281"/>
      <c r="H239" s="281"/>
      <c r="I239" s="274"/>
      <c r="J239" s="274"/>
      <c r="K239" s="271"/>
      <c r="L239" s="271"/>
      <c r="M239" s="271"/>
      <c r="N239" s="271"/>
      <c r="O239" s="269"/>
      <c r="P239" s="269"/>
    </row>
    <row r="240" spans="1:16" ht="18.75" hidden="1" x14ac:dyDescent="0.25">
      <c r="A240" s="275"/>
      <c r="B240" s="276"/>
      <c r="C240" s="276"/>
      <c r="D240" s="276"/>
      <c r="E240" s="286" t="s">
        <v>105</v>
      </c>
      <c r="F240" s="283"/>
      <c r="G240" s="281"/>
      <c r="H240" s="284" t="s">
        <v>33</v>
      </c>
      <c r="I240" s="201">
        <f>I251+I262</f>
        <v>0</v>
      </c>
      <c r="J240" s="201">
        <f>J251+J262</f>
        <v>0</v>
      </c>
      <c r="K240" s="51">
        <f>IF(I240&gt;0,J240*100/I240,0)</f>
        <v>0</v>
      </c>
      <c r="L240" s="271"/>
      <c r="M240" s="271"/>
      <c r="N240" s="271"/>
      <c r="O240" s="271"/>
      <c r="P240" s="271"/>
    </row>
    <row r="241" spans="1:16" ht="18.75" hidden="1" x14ac:dyDescent="0.25">
      <c r="A241" s="275"/>
      <c r="B241" s="276"/>
      <c r="C241" s="276"/>
      <c r="D241" s="276"/>
      <c r="E241" s="286" t="s">
        <v>106</v>
      </c>
      <c r="F241" s="283"/>
      <c r="G241" s="281"/>
      <c r="H241" s="284" t="s">
        <v>54</v>
      </c>
      <c r="I241" s="201">
        <f>I252+I263</f>
        <v>0</v>
      </c>
      <c r="J241" s="201">
        <f>J252+J263</f>
        <v>0</v>
      </c>
      <c r="K241" s="51">
        <f>IF(I241&gt;0,J241*100/I241,0)</f>
        <v>0</v>
      </c>
      <c r="L241" s="271"/>
      <c r="M241" s="271"/>
      <c r="N241" s="271"/>
      <c r="O241" s="271"/>
      <c r="P241" s="271"/>
    </row>
    <row r="242" spans="1:16" ht="19.5" hidden="1" x14ac:dyDescent="0.3">
      <c r="A242" s="234"/>
      <c r="B242" s="235"/>
      <c r="C242" s="255" t="s">
        <v>107</v>
      </c>
      <c r="D242" s="237"/>
      <c r="E242" s="237"/>
      <c r="F242" s="237"/>
      <c r="G242" s="238"/>
      <c r="H242" s="258" t="s">
        <v>33</v>
      </c>
      <c r="I242" s="259">
        <f ca="1">I249</f>
        <v>0</v>
      </c>
      <c r="J242" s="259">
        <f>J249</f>
        <v>0</v>
      </c>
      <c r="K242" s="260">
        <f ca="1">IF(I242&gt;0,J242*100/I242,0)</f>
        <v>0</v>
      </c>
      <c r="L242" s="242"/>
      <c r="M242" s="242"/>
      <c r="N242" s="242"/>
      <c r="O242" s="242"/>
      <c r="P242" s="242"/>
    </row>
    <row r="243" spans="1:16" ht="19.5" hidden="1" x14ac:dyDescent="0.3">
      <c r="A243" s="137"/>
      <c r="B243" s="42"/>
      <c r="C243" s="264" t="s">
        <v>16</v>
      </c>
      <c r="D243" s="265" t="s">
        <v>17</v>
      </c>
      <c r="E243" s="42"/>
      <c r="F243" s="42"/>
      <c r="G243" s="44"/>
      <c r="H243" s="267" t="s">
        <v>12</v>
      </c>
      <c r="I243" s="145"/>
      <c r="J243" s="145"/>
      <c r="K243" s="146"/>
      <c r="L243" s="270">
        <f ca="1">L244+L245+L246+L247</f>
        <v>0</v>
      </c>
      <c r="M243" s="47"/>
      <c r="N243" s="270">
        <f>N244+N245+N246+N247</f>
        <v>0</v>
      </c>
      <c r="O243" s="270">
        <f ca="1">IF(L243&gt;0,N243*100/L243,0)</f>
        <v>0</v>
      </c>
      <c r="P243" s="270">
        <f>IF(M243&gt;0,N243*100/M243,0)</f>
        <v>0</v>
      </c>
    </row>
    <row r="244" spans="1:16" ht="18.75" hidden="1" x14ac:dyDescent="0.25">
      <c r="A244" s="137"/>
      <c r="B244" s="229"/>
      <c r="C244" s="42"/>
      <c r="D244" s="296" t="s">
        <v>89</v>
      </c>
      <c r="E244" s="42"/>
      <c r="F244" s="42"/>
      <c r="G244" s="44"/>
      <c r="H244" s="147" t="s">
        <v>12</v>
      </c>
      <c r="I244" s="145"/>
      <c r="J244" s="145"/>
      <c r="K244" s="146"/>
      <c r="L244" s="51">
        <f ca="1">IFERROR(__xludf.DUMMYFUNCTION("IMPORTRANGE(""https://docs.google.com/spreadsheets/d/1eHaY18a8A9IcSdp1K8H6x8fbOy06t2VsZHhMHf-1x7Y/edit?usp=sharing"",""แผน!AX83"")"),0)</f>
        <v>0</v>
      </c>
      <c r="M244" s="47"/>
      <c r="N244" s="287">
        <v>0</v>
      </c>
      <c r="O244" s="47"/>
      <c r="P244" s="47"/>
    </row>
    <row r="245" spans="1:16" ht="18.75" hidden="1" x14ac:dyDescent="0.25">
      <c r="A245" s="228"/>
      <c r="B245" s="229"/>
      <c r="C245" s="229"/>
      <c r="D245" s="296" t="s">
        <v>82</v>
      </c>
      <c r="E245" s="42"/>
      <c r="F245" s="42"/>
      <c r="G245" s="44"/>
      <c r="H245" s="147" t="s">
        <v>12</v>
      </c>
      <c r="I245" s="46"/>
      <c r="J245" s="46"/>
      <c r="K245" s="47"/>
      <c r="L245" s="51">
        <f ca="1">IFERROR(__xludf.DUMMYFUNCTION("IMPORTRANGE(""https://docs.google.com/spreadsheets/d/1eHaY18a8A9IcSdp1K8H6x8fbOy06t2VsZHhMHf-1x7Y/edit?usp=sharing"",""แผน!AY83"")"),0)</f>
        <v>0</v>
      </c>
      <c r="M245" s="47"/>
      <c r="N245" s="287">
        <v>0</v>
      </c>
      <c r="O245" s="47"/>
      <c r="P245" s="47"/>
    </row>
    <row r="246" spans="1:16" ht="18.75" hidden="1" x14ac:dyDescent="0.25">
      <c r="A246" s="228"/>
      <c r="B246" s="229"/>
      <c r="C246" s="229"/>
      <c r="D246" s="296" t="s">
        <v>102</v>
      </c>
      <c r="E246" s="42"/>
      <c r="F246" s="42"/>
      <c r="G246" s="44"/>
      <c r="H246" s="147" t="s">
        <v>12</v>
      </c>
      <c r="I246" s="46"/>
      <c r="J246" s="46"/>
      <c r="K246" s="47"/>
      <c r="L246" s="51">
        <f ca="1">IFERROR(__xludf.DUMMYFUNCTION("IMPORTRANGE(""https://docs.google.com/spreadsheets/d/1eHaY18a8A9IcSdp1K8H6x8fbOy06t2VsZHhMHf-1x7Y/edit?usp=sharing"",""แผน!AZ83"")"),0)</f>
        <v>0</v>
      </c>
      <c r="M246" s="47"/>
      <c r="N246" s="287">
        <v>0</v>
      </c>
      <c r="O246" s="47"/>
      <c r="P246" s="47"/>
    </row>
    <row r="247" spans="1:16" ht="18.75" hidden="1" x14ac:dyDescent="0.25">
      <c r="A247" s="228"/>
      <c r="B247" s="229"/>
      <c r="C247" s="229"/>
      <c r="D247" s="296" t="s">
        <v>103</v>
      </c>
      <c r="E247" s="42"/>
      <c r="F247" s="42"/>
      <c r="G247" s="44"/>
      <c r="H247" s="147" t="s">
        <v>12</v>
      </c>
      <c r="I247" s="46"/>
      <c r="J247" s="46"/>
      <c r="K247" s="47"/>
      <c r="L247" s="51">
        <f ca="1">IFERROR(__xludf.DUMMYFUNCTION("IMPORTRANGE(""https://docs.google.com/spreadsheets/d/1eHaY18a8A9IcSdp1K8H6x8fbOy06t2VsZHhMHf-1x7Y/edit?usp=sharing"",""แผน!BA83"")"),0)</f>
        <v>0</v>
      </c>
      <c r="M247" s="47"/>
      <c r="N247" s="287">
        <v>0</v>
      </c>
      <c r="O247" s="47"/>
      <c r="P247" s="47"/>
    </row>
    <row r="248" spans="1:16" ht="19.5" hidden="1" x14ac:dyDescent="0.3">
      <c r="A248" s="149"/>
      <c r="B248" s="150"/>
      <c r="C248" s="277" t="s">
        <v>16</v>
      </c>
      <c r="D248" s="451" t="s">
        <v>36</v>
      </c>
      <c r="E248" s="152"/>
      <c r="F248" s="152"/>
      <c r="G248" s="153"/>
      <c r="H248" s="154"/>
      <c r="I248" s="145"/>
      <c r="J248" s="46"/>
      <c r="K248" s="47"/>
      <c r="L248" s="47"/>
      <c r="M248" s="47"/>
      <c r="N248" s="47"/>
      <c r="O248" s="146"/>
      <c r="P248" s="146"/>
    </row>
    <row r="249" spans="1:16" ht="18.75" hidden="1" x14ac:dyDescent="0.25">
      <c r="A249" s="149"/>
      <c r="B249" s="150"/>
      <c r="C249" s="150"/>
      <c r="D249" s="282" t="s">
        <v>104</v>
      </c>
      <c r="E249" s="156"/>
      <c r="F249" s="156"/>
      <c r="G249" s="154"/>
      <c r="H249" s="284" t="s">
        <v>33</v>
      </c>
      <c r="I249" s="201">
        <f ca="1">IFERROR(__xludf.DUMMYFUNCTION("IMPORTRANGE(""https://docs.google.com/spreadsheets/d/1eHaY18a8A9IcSdp1K8H6x8fbOy06t2VsZHhMHf-1x7Y/edit?usp=sharing"",""แผน!BG83"")"),0)</f>
        <v>0</v>
      </c>
      <c r="J249" s="202">
        <v>0</v>
      </c>
      <c r="K249" s="51">
        <f ca="1">IF(I249&gt;0,J249*100/I249,0)</f>
        <v>0</v>
      </c>
      <c r="L249" s="47"/>
      <c r="M249" s="47"/>
      <c r="N249" s="47"/>
      <c r="O249" s="47"/>
      <c r="P249" s="47"/>
    </row>
    <row r="250" spans="1:16" ht="18.75" hidden="1" x14ac:dyDescent="0.25">
      <c r="A250" s="149"/>
      <c r="B250" s="150"/>
      <c r="C250" s="150"/>
      <c r="D250" s="285" t="s">
        <v>41</v>
      </c>
      <c r="E250" s="156"/>
      <c r="F250" s="156"/>
      <c r="G250" s="154"/>
      <c r="H250" s="154"/>
      <c r="I250" s="46"/>
      <c r="J250" s="46"/>
      <c r="K250" s="47"/>
      <c r="L250" s="47"/>
      <c r="M250" s="47"/>
      <c r="N250" s="47"/>
      <c r="O250" s="146"/>
      <c r="P250" s="146"/>
    </row>
    <row r="251" spans="1:16" ht="18.75" hidden="1" x14ac:dyDescent="0.25">
      <c r="A251" s="149"/>
      <c r="B251" s="150"/>
      <c r="C251" s="150"/>
      <c r="D251" s="150"/>
      <c r="E251" s="286" t="s">
        <v>105</v>
      </c>
      <c r="F251" s="156"/>
      <c r="G251" s="154"/>
      <c r="H251" s="284" t="s">
        <v>33</v>
      </c>
      <c r="I251" s="201">
        <v>0</v>
      </c>
      <c r="J251" s="202">
        <v>0</v>
      </c>
      <c r="K251" s="51">
        <f>IF(I251&gt;0,J251*100/I251,0)</f>
        <v>0</v>
      </c>
      <c r="L251" s="47"/>
      <c r="M251" s="47"/>
      <c r="N251" s="47"/>
      <c r="O251" s="47"/>
      <c r="P251" s="47"/>
    </row>
    <row r="252" spans="1:16" ht="18.75" hidden="1" x14ac:dyDescent="0.25">
      <c r="A252" s="149"/>
      <c r="B252" s="150"/>
      <c r="C252" s="150"/>
      <c r="D252" s="150"/>
      <c r="E252" s="286" t="s">
        <v>106</v>
      </c>
      <c r="F252" s="156"/>
      <c r="G252" s="154"/>
      <c r="H252" s="284" t="s">
        <v>54</v>
      </c>
      <c r="I252" s="201">
        <v>0</v>
      </c>
      <c r="J252" s="202">
        <v>0</v>
      </c>
      <c r="K252" s="51">
        <f>IF(I252&gt;0,J252*100/I252,0)</f>
        <v>0</v>
      </c>
      <c r="L252" s="47"/>
      <c r="M252" s="47"/>
      <c r="N252" s="47"/>
      <c r="O252" s="47"/>
      <c r="P252" s="47"/>
    </row>
    <row r="253" spans="1:16" ht="19.5" hidden="1" x14ac:dyDescent="0.3">
      <c r="A253" s="234"/>
      <c r="B253" s="235"/>
      <c r="C253" s="255" t="s">
        <v>108</v>
      </c>
      <c r="D253" s="237"/>
      <c r="E253" s="237"/>
      <c r="F253" s="237"/>
      <c r="G253" s="238"/>
      <c r="H253" s="258" t="s">
        <v>33</v>
      </c>
      <c r="I253" s="259">
        <f ca="1">I260</f>
        <v>0</v>
      </c>
      <c r="J253" s="259">
        <f>J260</f>
        <v>0</v>
      </c>
      <c r="K253" s="260">
        <f ca="1">IF(I253&gt;0,J253*100/I253,0)</f>
        <v>0</v>
      </c>
      <c r="L253" s="242"/>
      <c r="M253" s="242"/>
      <c r="N253" s="242"/>
      <c r="O253" s="242"/>
      <c r="P253" s="242"/>
    </row>
    <row r="254" spans="1:16" ht="19.5" hidden="1" x14ac:dyDescent="0.3">
      <c r="A254" s="137"/>
      <c r="B254" s="42"/>
      <c r="C254" s="264" t="s">
        <v>16</v>
      </c>
      <c r="D254" s="477" t="s">
        <v>17</v>
      </c>
      <c r="E254" s="42"/>
      <c r="F254" s="42"/>
      <c r="G254" s="44"/>
      <c r="H254" s="267" t="s">
        <v>12</v>
      </c>
      <c r="I254" s="145"/>
      <c r="J254" s="145"/>
      <c r="K254" s="146"/>
      <c r="L254" s="270">
        <f ca="1">L255+L256+L257+L258</f>
        <v>0</v>
      </c>
      <c r="M254" s="47"/>
      <c r="N254" s="270">
        <f>N255+N256+N257+N258</f>
        <v>0</v>
      </c>
      <c r="O254" s="270">
        <f ca="1">IF(L254&gt;0,N254*100/L254,0)</f>
        <v>0</v>
      </c>
      <c r="P254" s="270">
        <f>IF(M254&gt;0,N254*100/M254,0)</f>
        <v>0</v>
      </c>
    </row>
    <row r="255" spans="1:16" ht="18.75" hidden="1" x14ac:dyDescent="0.25">
      <c r="A255" s="137"/>
      <c r="B255" s="229"/>
      <c r="C255" s="42"/>
      <c r="D255" s="296" t="s">
        <v>89</v>
      </c>
      <c r="E255" s="42"/>
      <c r="F255" s="42"/>
      <c r="G255" s="44"/>
      <c r="H255" s="147" t="s">
        <v>12</v>
      </c>
      <c r="I255" s="145"/>
      <c r="J255" s="145"/>
      <c r="K255" s="146"/>
      <c r="L255" s="51">
        <f ca="1">IFERROR(__xludf.DUMMYFUNCTION("IMPORTRANGE(""https://docs.google.com/spreadsheets/d/1eHaY18a8A9IcSdp1K8H6x8fbOy06t2VsZHhMHf-1x7Y/edit?usp=sharing"",""แผน!BB83"")"),0)</f>
        <v>0</v>
      </c>
      <c r="M255" s="47"/>
      <c r="N255" s="287">
        <v>0</v>
      </c>
      <c r="O255" s="47"/>
      <c r="P255" s="47"/>
    </row>
    <row r="256" spans="1:16" ht="18.75" hidden="1" x14ac:dyDescent="0.25">
      <c r="A256" s="228"/>
      <c r="B256" s="229"/>
      <c r="C256" s="229"/>
      <c r="D256" s="296" t="s">
        <v>82</v>
      </c>
      <c r="E256" s="42"/>
      <c r="F256" s="42"/>
      <c r="G256" s="44"/>
      <c r="H256" s="147" t="s">
        <v>12</v>
      </c>
      <c r="I256" s="46"/>
      <c r="J256" s="46"/>
      <c r="K256" s="47"/>
      <c r="L256" s="51">
        <f ca="1">IFERROR(__xludf.DUMMYFUNCTION("IMPORTRANGE(""https://docs.google.com/spreadsheets/d/1eHaY18a8A9IcSdp1K8H6x8fbOy06t2VsZHhMHf-1x7Y/edit?usp=sharing"",""แผน!BC83"")"),0)</f>
        <v>0</v>
      </c>
      <c r="M256" s="47"/>
      <c r="N256" s="287">
        <v>0</v>
      </c>
      <c r="O256" s="47"/>
      <c r="P256" s="47"/>
    </row>
    <row r="257" spans="1:16" ht="18.75" hidden="1" x14ac:dyDescent="0.25">
      <c r="A257" s="228"/>
      <c r="B257" s="229"/>
      <c r="C257" s="229"/>
      <c r="D257" s="296" t="s">
        <v>102</v>
      </c>
      <c r="E257" s="42"/>
      <c r="F257" s="42"/>
      <c r="G257" s="44"/>
      <c r="H257" s="147" t="s">
        <v>12</v>
      </c>
      <c r="I257" s="46"/>
      <c r="J257" s="46"/>
      <c r="K257" s="47"/>
      <c r="L257" s="51">
        <f ca="1">IFERROR(__xludf.DUMMYFUNCTION("IMPORTRANGE(""https://docs.google.com/spreadsheets/d/1eHaY18a8A9IcSdp1K8H6x8fbOy06t2VsZHhMHf-1x7Y/edit?usp=sharing"",""แผน!BD83"")"),0)</f>
        <v>0</v>
      </c>
      <c r="M257" s="47"/>
      <c r="N257" s="287">
        <v>0</v>
      </c>
      <c r="O257" s="47"/>
      <c r="P257" s="47"/>
    </row>
    <row r="258" spans="1:16" ht="18.75" hidden="1" x14ac:dyDescent="0.25">
      <c r="A258" s="228"/>
      <c r="B258" s="229"/>
      <c r="C258" s="229"/>
      <c r="D258" s="296" t="s">
        <v>103</v>
      </c>
      <c r="E258" s="42"/>
      <c r="F258" s="42"/>
      <c r="G258" s="44"/>
      <c r="H258" s="147" t="s">
        <v>12</v>
      </c>
      <c r="I258" s="46"/>
      <c r="J258" s="46"/>
      <c r="K258" s="47"/>
      <c r="L258" s="51">
        <f ca="1">IFERROR(__xludf.DUMMYFUNCTION("IMPORTRANGE(""https://docs.google.com/spreadsheets/d/1eHaY18a8A9IcSdp1K8H6x8fbOy06t2VsZHhMHf-1x7Y/edit?usp=sharing"",""แผน!BE83"")"),0)</f>
        <v>0</v>
      </c>
      <c r="M258" s="47"/>
      <c r="N258" s="287">
        <v>0</v>
      </c>
      <c r="O258" s="47"/>
      <c r="P258" s="47"/>
    </row>
    <row r="259" spans="1:16" ht="19.5" hidden="1" x14ac:dyDescent="0.3">
      <c r="A259" s="149"/>
      <c r="B259" s="150"/>
      <c r="C259" s="277" t="s">
        <v>16</v>
      </c>
      <c r="D259" s="451" t="s">
        <v>36</v>
      </c>
      <c r="E259" s="152"/>
      <c r="F259" s="152"/>
      <c r="G259" s="153"/>
      <c r="H259" s="154"/>
      <c r="I259" s="145"/>
      <c r="J259" s="46"/>
      <c r="K259" s="47"/>
      <c r="L259" s="47"/>
      <c r="M259" s="47"/>
      <c r="N259" s="47"/>
      <c r="O259" s="146"/>
      <c r="P259" s="146"/>
    </row>
    <row r="260" spans="1:16" ht="18.75" hidden="1" x14ac:dyDescent="0.25">
      <c r="A260" s="149"/>
      <c r="B260" s="150"/>
      <c r="C260" s="150"/>
      <c r="D260" s="282" t="s">
        <v>104</v>
      </c>
      <c r="E260" s="156"/>
      <c r="F260" s="156"/>
      <c r="G260" s="154"/>
      <c r="H260" s="284" t="s">
        <v>33</v>
      </c>
      <c r="I260" s="201">
        <f ca="1">IFERROR(__xludf.DUMMYFUNCTION("IMPORTRANGE(""https://docs.google.com/spreadsheets/d/1eHaY18a8A9IcSdp1K8H6x8fbOy06t2VsZHhMHf-1x7Y/edit?usp=sharing"",""แผน!BH83"")"),0)</f>
        <v>0</v>
      </c>
      <c r="J260" s="202">
        <v>0</v>
      </c>
      <c r="K260" s="51">
        <f ca="1">IF(I260&gt;0,J260*100/I260,0)</f>
        <v>0</v>
      </c>
      <c r="L260" s="47"/>
      <c r="M260" s="47"/>
      <c r="N260" s="47"/>
      <c r="O260" s="47"/>
      <c r="P260" s="47"/>
    </row>
    <row r="261" spans="1:16" ht="18.75" hidden="1" x14ac:dyDescent="0.25">
      <c r="A261" s="149"/>
      <c r="B261" s="150"/>
      <c r="C261" s="150"/>
      <c r="D261" s="285" t="s">
        <v>41</v>
      </c>
      <c r="E261" s="156"/>
      <c r="F261" s="156"/>
      <c r="G261" s="154"/>
      <c r="H261" s="154"/>
      <c r="I261" s="46"/>
      <c r="J261" s="46"/>
      <c r="K261" s="47"/>
      <c r="L261" s="47"/>
      <c r="M261" s="47"/>
      <c r="N261" s="47"/>
      <c r="O261" s="146"/>
      <c r="P261" s="146"/>
    </row>
    <row r="262" spans="1:16" ht="18.75" hidden="1" x14ac:dyDescent="0.25">
      <c r="A262" s="149"/>
      <c r="B262" s="150"/>
      <c r="C262" s="150"/>
      <c r="D262" s="150"/>
      <c r="E262" s="286" t="s">
        <v>105</v>
      </c>
      <c r="F262" s="156"/>
      <c r="G262" s="154"/>
      <c r="H262" s="284" t="s">
        <v>33</v>
      </c>
      <c r="I262" s="46"/>
      <c r="J262" s="202">
        <v>0</v>
      </c>
      <c r="K262" s="51">
        <f>IF(I262&gt;0,J262*100/I262,0)</f>
        <v>0</v>
      </c>
      <c r="L262" s="47"/>
      <c r="M262" s="47"/>
      <c r="N262" s="47"/>
      <c r="O262" s="47"/>
      <c r="P262" s="47"/>
    </row>
    <row r="263" spans="1:16" ht="18.75" hidden="1" x14ac:dyDescent="0.25">
      <c r="A263" s="149"/>
      <c r="B263" s="150"/>
      <c r="C263" s="150"/>
      <c r="D263" s="150"/>
      <c r="E263" s="286" t="s">
        <v>106</v>
      </c>
      <c r="F263" s="156"/>
      <c r="G263" s="154"/>
      <c r="H263" s="284" t="s">
        <v>54</v>
      </c>
      <c r="I263" s="46"/>
      <c r="J263" s="202">
        <v>0</v>
      </c>
      <c r="K263" s="51">
        <f>IF(I263&gt;0,J263*100/I263,0)</f>
        <v>0</v>
      </c>
      <c r="L263" s="47"/>
      <c r="M263" s="47"/>
      <c r="N263" s="47"/>
      <c r="O263" s="47"/>
      <c r="P263" s="47"/>
    </row>
    <row r="264" spans="1:16" ht="19.5" hidden="1" x14ac:dyDescent="0.3">
      <c r="A264" s="289" t="s">
        <v>109</v>
      </c>
      <c r="B264" s="216"/>
      <c r="C264" s="216"/>
      <c r="D264" s="217"/>
      <c r="E264" s="217"/>
      <c r="F264" s="217"/>
      <c r="G264" s="218"/>
      <c r="H264" s="218"/>
      <c r="I264" s="219"/>
      <c r="J264" s="219"/>
      <c r="K264" s="220"/>
      <c r="L264" s="220"/>
      <c r="M264" s="220"/>
      <c r="N264" s="220"/>
      <c r="O264" s="220"/>
      <c r="P264" s="220"/>
    </row>
    <row r="265" spans="1:16" ht="19.5" hidden="1" x14ac:dyDescent="0.3">
      <c r="A265" s="221"/>
      <c r="B265" s="290" t="s">
        <v>110</v>
      </c>
      <c r="C265" s="223"/>
      <c r="D265" s="152"/>
      <c r="E265" s="152"/>
      <c r="F265" s="152"/>
      <c r="G265" s="153"/>
      <c r="H265" s="291" t="s">
        <v>33</v>
      </c>
      <c r="I265" s="292">
        <f>I276</f>
        <v>0</v>
      </c>
      <c r="J265" s="292">
        <f>J276</f>
        <v>0</v>
      </c>
      <c r="K265" s="293">
        <f>IF(I265&gt;0,J265*100/I265,0)</f>
        <v>0</v>
      </c>
      <c r="L265" s="227"/>
      <c r="M265" s="227"/>
      <c r="N265" s="227"/>
      <c r="O265" s="227"/>
      <c r="P265" s="227"/>
    </row>
    <row r="266" spans="1:16" ht="19.5" hidden="1" x14ac:dyDescent="0.3">
      <c r="A266" s="137"/>
      <c r="B266" s="42"/>
      <c r="C266" s="264" t="s">
        <v>16</v>
      </c>
      <c r="D266" s="265" t="s">
        <v>17</v>
      </c>
      <c r="E266" s="42"/>
      <c r="F266" s="42"/>
      <c r="G266" s="44"/>
      <c r="H266" s="294" t="s">
        <v>12</v>
      </c>
      <c r="I266" s="46"/>
      <c r="J266" s="46"/>
      <c r="K266" s="47"/>
      <c r="L266" s="270">
        <f ca="1">L267+L268</f>
        <v>0</v>
      </c>
      <c r="M266" s="270">
        <f ca="1">M267+M268</f>
        <v>0</v>
      </c>
      <c r="N266" s="270">
        <f ca="1">N267+N268</f>
        <v>0</v>
      </c>
      <c r="O266" s="270">
        <f ca="1">IF(L266&gt;0,N266*100/L266,0)</f>
        <v>0</v>
      </c>
      <c r="P266" s="270">
        <f ca="1">IF(M266&gt;0,N266*100/M266,0)</f>
        <v>0</v>
      </c>
    </row>
    <row r="267" spans="1:16" ht="18.75" hidden="1" x14ac:dyDescent="0.25">
      <c r="A267" s="137"/>
      <c r="B267" s="42"/>
      <c r="C267" s="42"/>
      <c r="D267" s="42"/>
      <c r="E267" s="296" t="s">
        <v>18</v>
      </c>
      <c r="F267" s="42"/>
      <c r="G267" s="44"/>
      <c r="H267" s="142" t="s">
        <v>12</v>
      </c>
      <c r="I267" s="46"/>
      <c r="J267" s="46"/>
      <c r="K267" s="47"/>
      <c r="L267" s="51">
        <f>L270+L273</f>
        <v>0</v>
      </c>
      <c r="M267" s="51">
        <f>M270+M273</f>
        <v>0</v>
      </c>
      <c r="N267" s="51">
        <f>N270+N273</f>
        <v>0</v>
      </c>
      <c r="O267" s="51">
        <f>IF(L267&gt;0,N267*100/L267,0)</f>
        <v>0</v>
      </c>
      <c r="P267" s="51">
        <f>IF(M267&gt;0,N267*100/M267,0)</f>
        <v>0</v>
      </c>
    </row>
    <row r="268" spans="1:16" ht="18.75" hidden="1" x14ac:dyDescent="0.25">
      <c r="A268" s="137"/>
      <c r="B268" s="42"/>
      <c r="C268" s="42"/>
      <c r="D268" s="42"/>
      <c r="E268" s="296" t="s">
        <v>19</v>
      </c>
      <c r="F268" s="42"/>
      <c r="G268" s="44"/>
      <c r="H268" s="142" t="s">
        <v>12</v>
      </c>
      <c r="I268" s="46"/>
      <c r="J268" s="46"/>
      <c r="K268" s="47"/>
      <c r="L268" s="51">
        <f ca="1">L271+L274</f>
        <v>0</v>
      </c>
      <c r="M268" s="51">
        <f ca="1">M271+M274</f>
        <v>0</v>
      </c>
      <c r="N268" s="51">
        <f ca="1">N271+N274</f>
        <v>0</v>
      </c>
      <c r="O268" s="51">
        <f ca="1">IF(L268&gt;0,N268*100/L268,0)</f>
        <v>0</v>
      </c>
      <c r="P268" s="51">
        <f ca="1">IF(M268&gt;0,N268*100/M268,0)</f>
        <v>0</v>
      </c>
    </row>
    <row r="269" spans="1:16" ht="18.75" hidden="1" x14ac:dyDescent="0.25">
      <c r="A269" s="137"/>
      <c r="B269" s="42"/>
      <c r="C269" s="42"/>
      <c r="D269" s="295" t="s">
        <v>20</v>
      </c>
      <c r="E269" s="42"/>
      <c r="F269" s="42"/>
      <c r="G269" s="44"/>
      <c r="H269" s="147" t="s">
        <v>12</v>
      </c>
      <c r="I269" s="145"/>
      <c r="J269" s="145"/>
      <c r="K269" s="146"/>
      <c r="L269" s="51">
        <f ca="1">L270+L271</f>
        <v>0</v>
      </c>
      <c r="M269" s="51">
        <f ca="1">M270+M271</f>
        <v>0</v>
      </c>
      <c r="N269" s="51">
        <f ca="1">N270+N271</f>
        <v>0</v>
      </c>
      <c r="O269" s="51">
        <f ca="1">IF(L269&gt;0,N269*100/L269,0)</f>
        <v>0</v>
      </c>
      <c r="P269" s="51">
        <f ca="1">IF(M269&gt;0,N269*100/M269,0)</f>
        <v>0</v>
      </c>
    </row>
    <row r="270" spans="1:16" ht="18.75" hidden="1" x14ac:dyDescent="0.25">
      <c r="A270" s="137"/>
      <c r="B270" s="42"/>
      <c r="C270" s="42"/>
      <c r="D270" s="42"/>
      <c r="E270" s="296" t="s">
        <v>34</v>
      </c>
      <c r="F270" s="42"/>
      <c r="G270" s="44"/>
      <c r="H270" s="147" t="s">
        <v>12</v>
      </c>
      <c r="I270" s="145"/>
      <c r="J270" s="145"/>
      <c r="K270" s="146"/>
      <c r="L270" s="51">
        <v>0</v>
      </c>
      <c r="M270" s="51">
        <v>0</v>
      </c>
      <c r="N270" s="51">
        <v>0</v>
      </c>
      <c r="O270" s="51">
        <f>IF(L270&gt;0,N270*100/L270,0)</f>
        <v>0</v>
      </c>
      <c r="P270" s="51">
        <f>IF(M270&gt;0,N270*100/M270,0)</f>
        <v>0</v>
      </c>
    </row>
    <row r="271" spans="1:16" ht="18.75" hidden="1" x14ac:dyDescent="0.25">
      <c r="A271" s="137"/>
      <c r="B271" s="42"/>
      <c r="C271" s="42"/>
      <c r="D271" s="42"/>
      <c r="E271" s="296" t="s">
        <v>35</v>
      </c>
      <c r="F271" s="42"/>
      <c r="G271" s="44"/>
      <c r="H271" s="147" t="s">
        <v>12</v>
      </c>
      <c r="I271" s="145"/>
      <c r="J271" s="145"/>
      <c r="K271" s="146"/>
      <c r="L271" s="51">
        <f ca="1">IFERROR(__xludf.DUMMYFUNCTION("IMPORTRANGE(""https://docs.google.com/spreadsheets/d/1-uDff_7J0KD5mKrp0Vvzr7lt3OU09vwQwhkpOPPYv2Y/edit?usp=sharing"",""งบพรบ!DE83"")"),0)</f>
        <v>0</v>
      </c>
      <c r="M271" s="51">
        <f ca="1">IFERROR(__xludf.DUMMYFUNCTION("IMPORTRANGE(""https://docs.google.com/spreadsheets/d/1-uDff_7J0KD5mKrp0Vvzr7lt3OU09vwQwhkpOPPYv2Y/edit?usp=sharing"",""งบพรบ!DJ83"")"),0)</f>
        <v>0</v>
      </c>
      <c r="N271" s="51">
        <f ca="1">IFERROR(__xludf.DUMMYFUNCTION("IMPORTRANGE(""https://docs.google.com/spreadsheets/d/1-uDff_7J0KD5mKrp0Vvzr7lt3OU09vwQwhkpOPPYv2Y/edit?usp=sharing"",""งบพรบ!DL83"")"),0)</f>
        <v>0</v>
      </c>
      <c r="O271" s="51">
        <f ca="1">IF(L271&gt;0,N271*100/L271,0)</f>
        <v>0</v>
      </c>
      <c r="P271" s="51">
        <f ca="1">IF(M271&gt;0,N271*100/M271,0)</f>
        <v>0</v>
      </c>
    </row>
    <row r="272" spans="1:16" ht="18.75" hidden="1" x14ac:dyDescent="0.25">
      <c r="A272" s="137"/>
      <c r="B272" s="42"/>
      <c r="C272" s="42"/>
      <c r="D272" s="295" t="s">
        <v>21</v>
      </c>
      <c r="E272" s="42"/>
      <c r="F272" s="42"/>
      <c r="G272" s="44"/>
      <c r="H272" s="200" t="s">
        <v>12</v>
      </c>
      <c r="I272" s="145"/>
      <c r="J272" s="145"/>
      <c r="K272" s="146"/>
      <c r="L272" s="51">
        <f ca="1">L273+L274</f>
        <v>0</v>
      </c>
      <c r="M272" s="51">
        <f ca="1">M273+M274</f>
        <v>0</v>
      </c>
      <c r="N272" s="51">
        <f ca="1">N273+N274</f>
        <v>0</v>
      </c>
      <c r="O272" s="51">
        <f ca="1">IF(L272&gt;0,N272*100/L272,0)</f>
        <v>0</v>
      </c>
      <c r="P272" s="51">
        <f ca="1">IF(M272&gt;0,N272*100/M272,0)</f>
        <v>0</v>
      </c>
    </row>
    <row r="273" spans="1:16" ht="18.75" hidden="1" x14ac:dyDescent="0.25">
      <c r="A273" s="137"/>
      <c r="B273" s="42"/>
      <c r="C273" s="42"/>
      <c r="D273" s="42"/>
      <c r="E273" s="296" t="s">
        <v>18</v>
      </c>
      <c r="F273" s="42"/>
      <c r="G273" s="44"/>
      <c r="H273" s="147" t="s">
        <v>12</v>
      </c>
      <c r="I273" s="145"/>
      <c r="J273" s="145"/>
      <c r="K273" s="146"/>
      <c r="L273" s="51">
        <v>0</v>
      </c>
      <c r="M273" s="51">
        <v>0</v>
      </c>
      <c r="N273" s="51">
        <v>0</v>
      </c>
      <c r="O273" s="51">
        <f>IF(L273&gt;0,N273*100/L273,0)</f>
        <v>0</v>
      </c>
      <c r="P273" s="51">
        <f>IF(M273&gt;0,N273*100/M273,0)</f>
        <v>0</v>
      </c>
    </row>
    <row r="274" spans="1:16" ht="18.75" hidden="1" x14ac:dyDescent="0.25">
      <c r="A274" s="137"/>
      <c r="B274" s="42"/>
      <c r="C274" s="42"/>
      <c r="D274" s="42"/>
      <c r="E274" s="296" t="s">
        <v>19</v>
      </c>
      <c r="F274" s="42"/>
      <c r="G274" s="44"/>
      <c r="H274" s="200" t="s">
        <v>12</v>
      </c>
      <c r="I274" s="145"/>
      <c r="J274" s="145"/>
      <c r="K274" s="146"/>
      <c r="L274" s="51">
        <f ca="1">IFERROR(__xludf.DUMMYFUNCTION("IMPORTRANGE(""https://docs.google.com/spreadsheets/d/1-uDff_7J0KD5mKrp0Vvzr7lt3OU09vwQwhkpOPPYv2Y/edit?usp=sharing"",""งบพรบ!DH83"")"),0)</f>
        <v>0</v>
      </c>
      <c r="M274" s="51">
        <f ca="1">IFERROR(__xludf.DUMMYFUNCTION("IMPORTRANGE(""https://docs.google.com/spreadsheets/d/1-uDff_7J0KD5mKrp0Vvzr7lt3OU09vwQwhkpOPPYv2Y/edit?usp=sharing"",""งบพรบ!DK83"")"),0)</f>
        <v>0</v>
      </c>
      <c r="N274" s="51">
        <f ca="1">IFERROR(__xludf.DUMMYFUNCTION("IMPORTRANGE(""https://docs.google.com/spreadsheets/d/1-uDff_7J0KD5mKrp0Vvzr7lt3OU09vwQwhkpOPPYv2Y/edit?usp=sharing"",""งบพรบ!DM83"")"),0)</f>
        <v>0</v>
      </c>
      <c r="O274" s="51">
        <f ca="1">IF(L274&gt;0,N274*100/L274,0)</f>
        <v>0</v>
      </c>
      <c r="P274" s="51">
        <f ca="1">IF(M274&gt;0,N274*100/M274,0)</f>
        <v>0</v>
      </c>
    </row>
    <row r="275" spans="1:16" ht="19.5" hidden="1" x14ac:dyDescent="0.3">
      <c r="A275" s="149"/>
      <c r="B275" s="150"/>
      <c r="C275" s="296" t="s">
        <v>16</v>
      </c>
      <c r="D275" s="451" t="s">
        <v>36</v>
      </c>
      <c r="E275" s="152"/>
      <c r="F275" s="152"/>
      <c r="G275" s="153"/>
      <c r="H275" s="154"/>
      <c r="I275" s="145"/>
      <c r="J275" s="145"/>
      <c r="K275" s="146"/>
      <c r="L275" s="146"/>
      <c r="M275" s="146"/>
      <c r="N275" s="146"/>
      <c r="O275" s="146"/>
      <c r="P275" s="146"/>
    </row>
    <row r="276" spans="1:16" ht="12.75" hidden="1" x14ac:dyDescent="0.2">
      <c r="A276" s="166"/>
      <c r="B276" s="167"/>
      <c r="C276" s="167"/>
      <c r="D276" s="17"/>
      <c r="E276" s="17"/>
      <c r="F276" s="17"/>
      <c r="G276" s="18"/>
      <c r="H276" s="18"/>
      <c r="I276" s="19"/>
      <c r="J276" s="19"/>
      <c r="K276" s="20"/>
      <c r="L276" s="20"/>
      <c r="M276" s="20"/>
      <c r="N276" s="20"/>
      <c r="O276" s="20"/>
      <c r="P276" s="20"/>
    </row>
    <row r="277" spans="1:16" ht="18.75" hidden="1" x14ac:dyDescent="0.25">
      <c r="A277" s="297"/>
      <c r="B277" s="298"/>
      <c r="C277" s="298"/>
      <c r="D277" s="299" t="s">
        <v>111</v>
      </c>
      <c r="E277" s="300"/>
      <c r="F277" s="300"/>
      <c r="G277" s="301"/>
      <c r="H277" s="302" t="s">
        <v>33</v>
      </c>
      <c r="I277" s="206">
        <v>0</v>
      </c>
      <c r="J277" s="206">
        <v>0</v>
      </c>
      <c r="K277" s="303">
        <v>0</v>
      </c>
      <c r="L277" s="304"/>
      <c r="M277" s="304"/>
      <c r="N277" s="304"/>
      <c r="O277" s="304"/>
      <c r="P277" s="304"/>
    </row>
    <row r="278" spans="1:16" ht="19.5" hidden="1" x14ac:dyDescent="0.3">
      <c r="A278" s="305" t="s">
        <v>112</v>
      </c>
      <c r="B278" s="306"/>
      <c r="C278" s="306"/>
      <c r="D278" s="306"/>
      <c r="E278" s="307"/>
      <c r="F278" s="307"/>
      <c r="G278" s="307"/>
      <c r="H278" s="307"/>
      <c r="I278" s="308"/>
      <c r="J278" s="308"/>
      <c r="K278" s="309"/>
      <c r="L278" s="309"/>
      <c r="M278" s="309"/>
      <c r="N278" s="309"/>
      <c r="O278" s="309"/>
      <c r="P278" s="310"/>
    </row>
    <row r="279" spans="1:16" ht="19.5" hidden="1" x14ac:dyDescent="0.3">
      <c r="A279" s="311" t="s">
        <v>113</v>
      </c>
      <c r="B279" s="312"/>
      <c r="C279" s="313"/>
      <c r="D279" s="312"/>
      <c r="E279" s="312"/>
      <c r="F279" s="312"/>
      <c r="G279" s="312"/>
      <c r="H279" s="312"/>
      <c r="I279" s="314"/>
      <c r="J279" s="315"/>
      <c r="K279" s="316"/>
      <c r="L279" s="316"/>
      <c r="M279" s="316"/>
      <c r="N279" s="316"/>
      <c r="O279" s="316"/>
      <c r="P279" s="316"/>
    </row>
    <row r="280" spans="1:16" ht="19.5" hidden="1" x14ac:dyDescent="0.3">
      <c r="A280" s="317"/>
      <c r="B280" s="318" t="s">
        <v>114</v>
      </c>
      <c r="C280" s="319"/>
      <c r="D280" s="320"/>
      <c r="E280" s="319"/>
      <c r="F280" s="319"/>
      <c r="G280" s="321"/>
      <c r="H280" s="322" t="s">
        <v>33</v>
      </c>
      <c r="I280" s="323">
        <f ca="1">I293</f>
        <v>0</v>
      </c>
      <c r="J280" s="323">
        <f>J293</f>
        <v>0</v>
      </c>
      <c r="K280" s="324">
        <f ca="1">IF(I280&gt;0,J280*100/I280,0)</f>
        <v>0</v>
      </c>
      <c r="L280" s="325"/>
      <c r="M280" s="325"/>
      <c r="N280" s="325"/>
      <c r="O280" s="325"/>
      <c r="P280" s="325"/>
    </row>
    <row r="281" spans="1:16" ht="19.5" hidden="1" x14ac:dyDescent="0.3">
      <c r="A281" s="317"/>
      <c r="B281" s="319"/>
      <c r="C281" s="319"/>
      <c r="D281" s="320"/>
      <c r="E281" s="319"/>
      <c r="F281" s="319"/>
      <c r="G281" s="321"/>
      <c r="H281" s="322" t="s">
        <v>44</v>
      </c>
      <c r="I281" s="323">
        <f ca="1">I292</f>
        <v>0</v>
      </c>
      <c r="J281" s="323">
        <f>J292</f>
        <v>0</v>
      </c>
      <c r="K281" s="324">
        <f ca="1">IF(I281&gt;0,J281*100/I281,0)</f>
        <v>0</v>
      </c>
      <c r="L281" s="325"/>
      <c r="M281" s="325"/>
      <c r="N281" s="325"/>
      <c r="O281" s="325"/>
      <c r="P281" s="325"/>
    </row>
    <row r="282" spans="1:16" ht="19.5" hidden="1" x14ac:dyDescent="0.3">
      <c r="A282" s="137"/>
      <c r="B282" s="42"/>
      <c r="C282" s="198" t="s">
        <v>16</v>
      </c>
      <c r="D282" s="475" t="s">
        <v>17</v>
      </c>
      <c r="E282" s="42"/>
      <c r="F282" s="42"/>
      <c r="G282" s="44"/>
      <c r="H282" s="140" t="s">
        <v>12</v>
      </c>
      <c r="I282" s="46"/>
      <c r="J282" s="46"/>
      <c r="K282" s="47"/>
      <c r="L282" s="141">
        <f ca="1">L283+L284</f>
        <v>0</v>
      </c>
      <c r="M282" s="141">
        <f ca="1">M283+M284</f>
        <v>0</v>
      </c>
      <c r="N282" s="141">
        <f ca="1">N283+N284</f>
        <v>0</v>
      </c>
      <c r="O282" s="141">
        <f ca="1">IF(L282&gt;0,N282*100/L282,0)</f>
        <v>0</v>
      </c>
      <c r="P282" s="141">
        <f ca="1">IF(M282&gt;0,N282*100/M282,0)</f>
        <v>0</v>
      </c>
    </row>
    <row r="283" spans="1:16" ht="18.75" hidden="1" x14ac:dyDescent="0.25">
      <c r="A283" s="137"/>
      <c r="B283" s="42"/>
      <c r="C283" s="42"/>
      <c r="D283" s="42"/>
      <c r="E283" s="296" t="s">
        <v>18</v>
      </c>
      <c r="F283" s="42"/>
      <c r="G283" s="44"/>
      <c r="H283" s="142" t="s">
        <v>12</v>
      </c>
      <c r="I283" s="46"/>
      <c r="J283" s="46"/>
      <c r="K283" s="47"/>
      <c r="L283" s="51">
        <f>L286+L289</f>
        <v>0</v>
      </c>
      <c r="M283" s="51">
        <f>M286+M289</f>
        <v>0</v>
      </c>
      <c r="N283" s="51">
        <f>N286+N289</f>
        <v>0</v>
      </c>
      <c r="O283" s="51">
        <f>IF(L283&gt;0,N283*100/L283,0)</f>
        <v>0</v>
      </c>
      <c r="P283" s="51">
        <f>IF(M283&gt;0,N283*100/M283,0)</f>
        <v>0</v>
      </c>
    </row>
    <row r="284" spans="1:16" ht="18.75" hidden="1" x14ac:dyDescent="0.25">
      <c r="A284" s="137"/>
      <c r="B284" s="42"/>
      <c r="C284" s="42"/>
      <c r="D284" s="42"/>
      <c r="E284" s="52" t="s">
        <v>19</v>
      </c>
      <c r="F284" s="42"/>
      <c r="G284" s="44"/>
      <c r="H284" s="143" t="s">
        <v>12</v>
      </c>
      <c r="I284" s="46"/>
      <c r="J284" s="46"/>
      <c r="K284" s="47"/>
      <c r="L284" s="48">
        <f ca="1">L287+L290</f>
        <v>0</v>
      </c>
      <c r="M284" s="48">
        <f ca="1">M287+M290</f>
        <v>0</v>
      </c>
      <c r="N284" s="48">
        <f ca="1">N287+N290</f>
        <v>0</v>
      </c>
      <c r="O284" s="48">
        <f ca="1">IF(L284&gt;0,N284*100/L284,0)</f>
        <v>0</v>
      </c>
      <c r="P284" s="48">
        <f ca="1">IF(M284&gt;0,N284*100/M284,0)</f>
        <v>0</v>
      </c>
    </row>
    <row r="285" spans="1:16" ht="18.75" hidden="1" x14ac:dyDescent="0.25">
      <c r="A285" s="137"/>
      <c r="B285" s="42"/>
      <c r="C285" s="42"/>
      <c r="D285" s="43" t="s">
        <v>20</v>
      </c>
      <c r="E285" s="42"/>
      <c r="F285" s="42"/>
      <c r="G285" s="44"/>
      <c r="H285" s="144" t="s">
        <v>12</v>
      </c>
      <c r="I285" s="145"/>
      <c r="J285" s="145"/>
      <c r="K285" s="146"/>
      <c r="L285" s="48">
        <f ca="1">L286+L287</f>
        <v>0</v>
      </c>
      <c r="M285" s="48">
        <f ca="1">M286+M287</f>
        <v>0</v>
      </c>
      <c r="N285" s="48">
        <f ca="1">N286+N287</f>
        <v>0</v>
      </c>
      <c r="O285" s="48">
        <f ca="1">IF(L285&gt;0,N285*100/L285,0)</f>
        <v>0</v>
      </c>
      <c r="P285" s="48">
        <f ca="1">IF(M285&gt;0,N285*100/M285,0)</f>
        <v>0</v>
      </c>
    </row>
    <row r="286" spans="1:16" ht="18.75" hidden="1" x14ac:dyDescent="0.25">
      <c r="A286" s="137"/>
      <c r="B286" s="42"/>
      <c r="C286" s="42"/>
      <c r="D286" s="42"/>
      <c r="E286" s="296" t="s">
        <v>34</v>
      </c>
      <c r="F286" s="42"/>
      <c r="G286" s="44"/>
      <c r="H286" s="147" t="s">
        <v>12</v>
      </c>
      <c r="I286" s="145"/>
      <c r="J286" s="145"/>
      <c r="K286" s="146"/>
      <c r="L286" s="51">
        <v>0</v>
      </c>
      <c r="M286" s="51">
        <v>0</v>
      </c>
      <c r="N286" s="51">
        <v>0</v>
      </c>
      <c r="O286" s="51">
        <f>IF(L286&gt;0,N286*100/L286,0)</f>
        <v>0</v>
      </c>
      <c r="P286" s="51">
        <f>IF(M286&gt;0,N286*100/M286,0)</f>
        <v>0</v>
      </c>
    </row>
    <row r="287" spans="1:16" ht="18.75" hidden="1" x14ac:dyDescent="0.25">
      <c r="A287" s="137"/>
      <c r="B287" s="42"/>
      <c r="C287" s="42"/>
      <c r="D287" s="42"/>
      <c r="E287" s="52" t="s">
        <v>35</v>
      </c>
      <c r="F287" s="42"/>
      <c r="G287" s="44"/>
      <c r="H287" s="144" t="s">
        <v>12</v>
      </c>
      <c r="I287" s="145"/>
      <c r="J287" s="145"/>
      <c r="K287" s="146"/>
      <c r="L287" s="48">
        <f ca="1">IFERROR(__xludf.DUMMYFUNCTION("IMPORTRANGE(""https://docs.google.com/spreadsheets/d/1-uDff_7J0KD5mKrp0Vvzr7lt3OU09vwQwhkpOPPYv2Y/edit?usp=sharing"",""งบพรบ!DO83"")"),0)</f>
        <v>0</v>
      </c>
      <c r="M287" s="48">
        <f ca="1">IFERROR(__xludf.DUMMYFUNCTION("IMPORTRANGE(""https://docs.google.com/spreadsheets/d/1-uDff_7J0KD5mKrp0Vvzr7lt3OU09vwQwhkpOPPYv2Y/edit?usp=sharing"",""งบพรบ!DT83"")"),0)</f>
        <v>0</v>
      </c>
      <c r="N287" s="48">
        <f ca="1">IFERROR(__xludf.DUMMYFUNCTION("IMPORTRANGE(""https://docs.google.com/spreadsheets/d/1-uDff_7J0KD5mKrp0Vvzr7lt3OU09vwQwhkpOPPYv2Y/edit?usp=sharing"",""งบพรบ!DV83"")"),0)</f>
        <v>0</v>
      </c>
      <c r="O287" s="48">
        <f ca="1">IF(L287&gt;0,N287*100/L287,0)</f>
        <v>0</v>
      </c>
      <c r="P287" s="48">
        <f ca="1">IF(M287&gt;0,N287*100/M287,0)</f>
        <v>0</v>
      </c>
    </row>
    <row r="288" spans="1:16" ht="18.75" hidden="1" x14ac:dyDescent="0.25">
      <c r="A288" s="137"/>
      <c r="B288" s="42"/>
      <c r="C288" s="42"/>
      <c r="D288" s="43" t="s">
        <v>21</v>
      </c>
      <c r="E288" s="42"/>
      <c r="F288" s="42"/>
      <c r="G288" s="44"/>
      <c r="H288" s="148" t="s">
        <v>12</v>
      </c>
      <c r="I288" s="145"/>
      <c r="J288" s="145"/>
      <c r="K288" s="146"/>
      <c r="L288" s="48">
        <f ca="1">L289+L290</f>
        <v>0</v>
      </c>
      <c r="M288" s="48">
        <f ca="1">M289+M290</f>
        <v>0</v>
      </c>
      <c r="N288" s="48">
        <f ca="1">N289+N290</f>
        <v>0</v>
      </c>
      <c r="O288" s="48">
        <f ca="1">IF(L288&gt;0,N288*100/L288,0)</f>
        <v>0</v>
      </c>
      <c r="P288" s="48">
        <f ca="1">IF(M288&gt;0,N288*100/M288,0)</f>
        <v>0</v>
      </c>
    </row>
    <row r="289" spans="1:16" ht="18.75" hidden="1" x14ac:dyDescent="0.25">
      <c r="A289" s="137"/>
      <c r="B289" s="42"/>
      <c r="C289" s="42"/>
      <c r="D289" s="42"/>
      <c r="E289" s="296" t="s">
        <v>18</v>
      </c>
      <c r="F289" s="42"/>
      <c r="G289" s="44"/>
      <c r="H289" s="147" t="s">
        <v>12</v>
      </c>
      <c r="I289" s="145"/>
      <c r="J289" s="145"/>
      <c r="K289" s="146"/>
      <c r="L289" s="51">
        <v>0</v>
      </c>
      <c r="M289" s="51">
        <v>0</v>
      </c>
      <c r="N289" s="51">
        <v>0</v>
      </c>
      <c r="O289" s="51">
        <f>IF(L289&gt;0,N289*100/L289,0)</f>
        <v>0</v>
      </c>
      <c r="P289" s="51">
        <f>IF(M289&gt;0,N289*100/M289,0)</f>
        <v>0</v>
      </c>
    </row>
    <row r="290" spans="1:16" ht="18.75" hidden="1" x14ac:dyDescent="0.25">
      <c r="A290" s="137"/>
      <c r="B290" s="42"/>
      <c r="C290" s="42"/>
      <c r="D290" s="42"/>
      <c r="E290" s="52" t="s">
        <v>19</v>
      </c>
      <c r="F290" s="42"/>
      <c r="G290" s="44"/>
      <c r="H290" s="148" t="s">
        <v>12</v>
      </c>
      <c r="I290" s="145"/>
      <c r="J290" s="145"/>
      <c r="K290" s="146"/>
      <c r="L290" s="48">
        <f ca="1">IFERROR(__xludf.DUMMYFUNCTION("IMPORTRANGE(""https://docs.google.com/spreadsheets/d/1-uDff_7J0KD5mKrp0Vvzr7lt3OU09vwQwhkpOPPYv2Y/edit?usp=sharing"",""งบพรบ!DR83"")"),0)</f>
        <v>0</v>
      </c>
      <c r="M290" s="48">
        <f ca="1">IFERROR(__xludf.DUMMYFUNCTION("IMPORTRANGE(""https://docs.google.com/spreadsheets/d/1-uDff_7J0KD5mKrp0Vvzr7lt3OU09vwQwhkpOPPYv2Y/edit?usp=sharing"",""งบพรบ!DU83"")"),0)</f>
        <v>0</v>
      </c>
      <c r="N290" s="48">
        <f ca="1">IFERROR(__xludf.DUMMYFUNCTION("IMPORTRANGE(""https://docs.google.com/spreadsheets/d/1-uDff_7J0KD5mKrp0Vvzr7lt3OU09vwQwhkpOPPYv2Y/edit?usp=sharing"",""งบพรบ!DW83"")"),0)</f>
        <v>0</v>
      </c>
      <c r="O290" s="48">
        <f ca="1">IF(L290&gt;0,N290*100/L290,0)</f>
        <v>0</v>
      </c>
      <c r="P290" s="48">
        <f ca="1">IF(M290&gt;0,N290*100/M290,0)</f>
        <v>0</v>
      </c>
    </row>
    <row r="291" spans="1:16" ht="19.5" hidden="1" x14ac:dyDescent="0.3">
      <c r="A291" s="149"/>
      <c r="B291" s="150"/>
      <c r="C291" s="198" t="s">
        <v>16</v>
      </c>
      <c r="D291" s="473" t="s">
        <v>36</v>
      </c>
      <c r="E291" s="152"/>
      <c r="F291" s="152"/>
      <c r="G291" s="153"/>
      <c r="H291" s="154"/>
      <c r="I291" s="145"/>
      <c r="J291" s="145"/>
      <c r="K291" s="146"/>
      <c r="L291" s="146"/>
      <c r="M291" s="146"/>
      <c r="N291" s="146"/>
      <c r="O291" s="146"/>
      <c r="P291" s="146"/>
    </row>
    <row r="292" spans="1:16" ht="18.75" hidden="1" x14ac:dyDescent="0.25">
      <c r="A292" s="149"/>
      <c r="B292" s="150"/>
      <c r="C292" s="150"/>
      <c r="D292" s="160" t="s">
        <v>115</v>
      </c>
      <c r="E292" s="150"/>
      <c r="F292" s="156"/>
      <c r="G292" s="154"/>
      <c r="H292" s="165" t="s">
        <v>44</v>
      </c>
      <c r="I292" s="170">
        <f ca="1">IFERROR(__xludf.DUMMYFUNCTION("IMPORTRANGE(""https://docs.google.com/spreadsheets/d/1eHaY18a8A9IcSdp1K8H6x8fbOy06t2VsZHhMHf-1x7Y/edit?usp=sharing"",""แผน!EE83"")"),0)</f>
        <v>0</v>
      </c>
      <c r="J292" s="163">
        <v>0</v>
      </c>
      <c r="K292" s="164">
        <f ca="1">IF(I292&gt;0,J292*100/I292,0)</f>
        <v>0</v>
      </c>
      <c r="L292" s="146"/>
      <c r="M292" s="146"/>
      <c r="N292" s="146"/>
      <c r="O292" s="146"/>
      <c r="P292" s="146"/>
    </row>
    <row r="293" spans="1:16" ht="19.5" hidden="1" x14ac:dyDescent="0.3">
      <c r="A293" s="149"/>
      <c r="B293" s="150"/>
      <c r="C293" s="150"/>
      <c r="D293" s="160" t="s">
        <v>116</v>
      </c>
      <c r="E293" s="150"/>
      <c r="F293" s="156"/>
      <c r="G293" s="154"/>
      <c r="H293" s="157" t="s">
        <v>33</v>
      </c>
      <c r="I293" s="158">
        <f ca="1">IFERROR(__xludf.DUMMYFUNCTION("IMPORTRANGE(""https://docs.google.com/spreadsheets/d/1eHaY18a8A9IcSdp1K8H6x8fbOy06t2VsZHhMHf-1x7Y/edit?usp=sharing"",""แผน!ED83"")"),0)</f>
        <v>0</v>
      </c>
      <c r="J293" s="158">
        <f>J296</f>
        <v>0</v>
      </c>
      <c r="K293" s="159">
        <f ca="1">IF(I293&gt;0,J293*100/I293,0)</f>
        <v>0</v>
      </c>
      <c r="L293" s="146"/>
      <c r="M293" s="146"/>
      <c r="N293" s="146"/>
      <c r="O293" s="146"/>
      <c r="P293" s="146"/>
    </row>
    <row r="294" spans="1:16" ht="19.5" hidden="1" x14ac:dyDescent="0.3">
      <c r="A294" s="149"/>
      <c r="B294" s="150"/>
      <c r="C294" s="150"/>
      <c r="D294" s="156"/>
      <c r="E294" s="168" t="s">
        <v>117</v>
      </c>
      <c r="F294" s="156"/>
      <c r="G294" s="154"/>
      <c r="H294" s="154"/>
      <c r="I294" s="145"/>
      <c r="J294" s="46"/>
      <c r="K294" s="146"/>
      <c r="L294" s="146"/>
      <c r="M294" s="146"/>
      <c r="N294" s="146"/>
      <c r="O294" s="146"/>
      <c r="P294" s="146"/>
    </row>
    <row r="295" spans="1:16" ht="19.5" hidden="1" x14ac:dyDescent="0.3">
      <c r="A295" s="149"/>
      <c r="B295" s="150"/>
      <c r="C295" s="150"/>
      <c r="D295" s="156"/>
      <c r="E295" s="160" t="s">
        <v>118</v>
      </c>
      <c r="F295" s="156"/>
      <c r="G295" s="154"/>
      <c r="H295" s="251" t="s">
        <v>33</v>
      </c>
      <c r="I295" s="162">
        <f ca="1">IFERROR(__xludf.DUMMYFUNCTION("IMPORTRANGE(""https://docs.google.com/spreadsheets/d/1eHaY18a8A9IcSdp1K8H6x8fbOy06t2VsZHhMHf-1x7Y/edit?usp=sharing"",""แผน!ED83"")"),0)</f>
        <v>0</v>
      </c>
      <c r="J295" s="163">
        <v>0</v>
      </c>
      <c r="K295" s="164">
        <f ca="1">IF(I295&gt;0,J295*100/I295,0)</f>
        <v>0</v>
      </c>
      <c r="L295" s="146"/>
      <c r="M295" s="146"/>
      <c r="N295" s="146"/>
      <c r="O295" s="146"/>
      <c r="P295" s="146"/>
    </row>
    <row r="296" spans="1:16" ht="19.5" hidden="1" x14ac:dyDescent="0.3">
      <c r="A296" s="149"/>
      <c r="B296" s="150"/>
      <c r="C296" s="150"/>
      <c r="D296" s="156"/>
      <c r="E296" s="160" t="s">
        <v>119</v>
      </c>
      <c r="F296" s="156"/>
      <c r="G296" s="154"/>
      <c r="H296" s="251" t="s">
        <v>33</v>
      </c>
      <c r="I296" s="162">
        <f ca="1">IFERROR(__xludf.DUMMYFUNCTION("IMPORTRANGE(""https://docs.google.com/spreadsheets/d/1eHaY18a8A9IcSdp1K8H6x8fbOy06t2VsZHhMHf-1x7Y/edit?usp=sharing"",""แผน!ED83"")"),0)</f>
        <v>0</v>
      </c>
      <c r="J296" s="163">
        <v>0</v>
      </c>
      <c r="K296" s="164">
        <f ca="1">IF(I296&gt;0,J296*100/I296,0)</f>
        <v>0</v>
      </c>
      <c r="L296" s="146"/>
      <c r="M296" s="146"/>
      <c r="N296" s="146"/>
      <c r="O296" s="146"/>
      <c r="P296" s="146"/>
    </row>
    <row r="297" spans="1:16" ht="12.75" hidden="1" x14ac:dyDescent="0.2">
      <c r="A297" s="166"/>
      <c r="B297" s="167"/>
      <c r="C297" s="167"/>
      <c r="D297" s="17"/>
      <c r="E297" s="17"/>
      <c r="F297" s="17"/>
      <c r="G297" s="18"/>
      <c r="H297" s="18"/>
      <c r="I297" s="19"/>
      <c r="J297" s="19"/>
      <c r="K297" s="20"/>
      <c r="L297" s="20"/>
      <c r="M297" s="20"/>
      <c r="N297" s="20"/>
      <c r="O297" s="20"/>
      <c r="P297" s="20"/>
    </row>
    <row r="298" spans="1:16" ht="12.75" hidden="1" x14ac:dyDescent="0.2">
      <c r="A298" s="166"/>
      <c r="B298" s="167"/>
      <c r="C298" s="167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</row>
    <row r="299" spans="1:16" ht="12.75" hidden="1" x14ac:dyDescent="0.2">
      <c r="A299" s="326"/>
      <c r="B299" s="327"/>
      <c r="C299" s="327"/>
      <c r="D299" s="22"/>
      <c r="E299" s="22"/>
      <c r="F299" s="22"/>
      <c r="G299" s="13"/>
      <c r="H299" s="13"/>
      <c r="I299" s="14"/>
      <c r="J299" s="14"/>
      <c r="K299" s="15"/>
      <c r="L299" s="15"/>
      <c r="M299" s="15"/>
      <c r="N299" s="15"/>
      <c r="O299" s="15"/>
      <c r="P299" s="15"/>
    </row>
    <row r="300" spans="1:16" ht="19.5" hidden="1" x14ac:dyDescent="0.3">
      <c r="A300" s="328" t="s">
        <v>120</v>
      </c>
      <c r="B300" s="329"/>
      <c r="C300" s="329"/>
      <c r="D300" s="329"/>
      <c r="E300" s="330"/>
      <c r="F300" s="330"/>
      <c r="G300" s="330"/>
      <c r="H300" s="330"/>
      <c r="I300" s="331"/>
      <c r="J300" s="331"/>
      <c r="K300" s="332"/>
      <c r="L300" s="332"/>
      <c r="M300" s="332"/>
      <c r="N300" s="332"/>
      <c r="O300" s="332"/>
      <c r="P300" s="333"/>
    </row>
    <row r="301" spans="1:16" ht="19.5" hidden="1" x14ac:dyDescent="0.3">
      <c r="A301" s="334" t="s">
        <v>121</v>
      </c>
      <c r="B301" s="335"/>
      <c r="C301" s="335"/>
      <c r="D301" s="336"/>
      <c r="E301" s="336"/>
      <c r="F301" s="336"/>
      <c r="G301" s="337"/>
      <c r="H301" s="337"/>
      <c r="I301" s="338"/>
      <c r="J301" s="338"/>
      <c r="K301" s="339"/>
      <c r="L301" s="339"/>
      <c r="M301" s="339"/>
      <c r="N301" s="339"/>
      <c r="O301" s="339"/>
      <c r="P301" s="339"/>
    </row>
    <row r="302" spans="1:16" ht="19.5" hidden="1" x14ac:dyDescent="0.3">
      <c r="A302" s="340"/>
      <c r="B302" s="341" t="s">
        <v>122</v>
      </c>
      <c r="C302" s="342"/>
      <c r="D302" s="342"/>
      <c r="E302" s="342"/>
      <c r="F302" s="342"/>
      <c r="G302" s="343"/>
      <c r="H302" s="344" t="s">
        <v>33</v>
      </c>
      <c r="I302" s="345">
        <f ca="1">I314</f>
        <v>0</v>
      </c>
      <c r="J302" s="345">
        <f>J314</f>
        <v>0</v>
      </c>
      <c r="K302" s="346">
        <f ca="1">IF(I302&gt;0,J302*100/I302,0)</f>
        <v>0</v>
      </c>
      <c r="L302" s="347"/>
      <c r="M302" s="347"/>
      <c r="N302" s="347"/>
      <c r="O302" s="347"/>
      <c r="P302" s="347"/>
    </row>
    <row r="303" spans="1:16" ht="19.5" hidden="1" x14ac:dyDescent="0.3">
      <c r="A303" s="137"/>
      <c r="B303" s="42"/>
      <c r="C303" s="198" t="s">
        <v>16</v>
      </c>
      <c r="D303" s="475" t="s">
        <v>17</v>
      </c>
      <c r="E303" s="42"/>
      <c r="F303" s="42"/>
      <c r="G303" s="44"/>
      <c r="H303" s="140" t="s">
        <v>12</v>
      </c>
      <c r="I303" s="46"/>
      <c r="J303" s="46"/>
      <c r="K303" s="47"/>
      <c r="L303" s="141">
        <f ca="1">L304+L305</f>
        <v>0</v>
      </c>
      <c r="M303" s="141">
        <f ca="1">M304+M305</f>
        <v>0</v>
      </c>
      <c r="N303" s="141">
        <f ca="1">N304+N305</f>
        <v>0</v>
      </c>
      <c r="O303" s="141">
        <f ca="1">IF(L303&gt;0,N303*100/L303,0)</f>
        <v>0</v>
      </c>
      <c r="P303" s="141">
        <f ca="1">IF(M303&gt;0,N303*100/M303,0)</f>
        <v>0</v>
      </c>
    </row>
    <row r="304" spans="1:16" ht="18.75" hidden="1" x14ac:dyDescent="0.25">
      <c r="A304" s="137"/>
      <c r="B304" s="42"/>
      <c r="C304" s="42"/>
      <c r="D304" s="42"/>
      <c r="E304" s="296" t="s">
        <v>18</v>
      </c>
      <c r="F304" s="42"/>
      <c r="G304" s="44"/>
      <c r="H304" s="142" t="s">
        <v>12</v>
      </c>
      <c r="I304" s="46"/>
      <c r="J304" s="46"/>
      <c r="K304" s="47"/>
      <c r="L304" s="51">
        <f>L307+L310</f>
        <v>0</v>
      </c>
      <c r="M304" s="51">
        <f>M307+M310</f>
        <v>0</v>
      </c>
      <c r="N304" s="51">
        <f>N307+N310</f>
        <v>0</v>
      </c>
      <c r="O304" s="51">
        <f>IF(L304&gt;0,N304*100/L304,0)</f>
        <v>0</v>
      </c>
      <c r="P304" s="51">
        <f>IF(M304&gt;0,N304*100/M304,0)</f>
        <v>0</v>
      </c>
    </row>
    <row r="305" spans="1:16" ht="18.75" hidden="1" x14ac:dyDescent="0.25">
      <c r="A305" s="137"/>
      <c r="B305" s="42"/>
      <c r="C305" s="42"/>
      <c r="D305" s="42"/>
      <c r="E305" s="52" t="s">
        <v>19</v>
      </c>
      <c r="F305" s="42"/>
      <c r="G305" s="44"/>
      <c r="H305" s="143" t="s">
        <v>12</v>
      </c>
      <c r="I305" s="46"/>
      <c r="J305" s="46"/>
      <c r="K305" s="47"/>
      <c r="L305" s="48">
        <f ca="1">L308+L311</f>
        <v>0</v>
      </c>
      <c r="M305" s="48">
        <f ca="1">M308+M311</f>
        <v>0</v>
      </c>
      <c r="N305" s="48">
        <f ca="1">N308+N311</f>
        <v>0</v>
      </c>
      <c r="O305" s="48">
        <f ca="1">IF(L305&gt;0,N305*100/L305,0)</f>
        <v>0</v>
      </c>
      <c r="P305" s="48">
        <f ca="1">IF(M305&gt;0,N305*100/M305,0)</f>
        <v>0</v>
      </c>
    </row>
    <row r="306" spans="1:16" ht="18.75" hidden="1" x14ac:dyDescent="0.25">
      <c r="A306" s="137"/>
      <c r="B306" s="42"/>
      <c r="C306" s="42"/>
      <c r="D306" s="43" t="s">
        <v>20</v>
      </c>
      <c r="E306" s="42"/>
      <c r="F306" s="42"/>
      <c r="G306" s="44"/>
      <c r="H306" s="144" t="s">
        <v>12</v>
      </c>
      <c r="I306" s="145"/>
      <c r="J306" s="145"/>
      <c r="K306" s="146"/>
      <c r="L306" s="48">
        <f ca="1">L307+L308</f>
        <v>0</v>
      </c>
      <c r="M306" s="48">
        <f ca="1">M307+M308</f>
        <v>0</v>
      </c>
      <c r="N306" s="48">
        <f ca="1">N307+N308</f>
        <v>0</v>
      </c>
      <c r="O306" s="48">
        <f ca="1">IF(L306&gt;0,N306*100/L306,0)</f>
        <v>0</v>
      </c>
      <c r="P306" s="48">
        <f ca="1">IF(M306&gt;0,N306*100/M306,0)</f>
        <v>0</v>
      </c>
    </row>
    <row r="307" spans="1:16" ht="18.75" hidden="1" x14ac:dyDescent="0.25">
      <c r="A307" s="137"/>
      <c r="B307" s="42"/>
      <c r="C307" s="42"/>
      <c r="D307" s="42"/>
      <c r="E307" s="296" t="s">
        <v>34</v>
      </c>
      <c r="F307" s="42"/>
      <c r="G307" s="44"/>
      <c r="H307" s="147" t="s">
        <v>12</v>
      </c>
      <c r="I307" s="145"/>
      <c r="J307" s="145"/>
      <c r="K307" s="146"/>
      <c r="L307" s="51">
        <v>0</v>
      </c>
      <c r="M307" s="51">
        <v>0</v>
      </c>
      <c r="N307" s="51">
        <v>0</v>
      </c>
      <c r="O307" s="51">
        <f>IF(L307&gt;0,N307*100/L307,0)</f>
        <v>0</v>
      </c>
      <c r="P307" s="51">
        <f>IF(M307&gt;0,N307*100/M307,0)</f>
        <v>0</v>
      </c>
    </row>
    <row r="308" spans="1:16" ht="18.75" hidden="1" x14ac:dyDescent="0.25">
      <c r="A308" s="137"/>
      <c r="B308" s="42"/>
      <c r="C308" s="42"/>
      <c r="D308" s="42"/>
      <c r="E308" s="52" t="s">
        <v>35</v>
      </c>
      <c r="F308" s="42"/>
      <c r="G308" s="44"/>
      <c r="H308" s="144" t="s">
        <v>12</v>
      </c>
      <c r="I308" s="145"/>
      <c r="J308" s="145"/>
      <c r="K308" s="146"/>
      <c r="L308" s="48">
        <f ca="1">IFERROR(__xludf.DUMMYFUNCTION("IMPORTRANGE(""https://docs.google.com/spreadsheets/d/1-uDff_7J0KD5mKrp0Vvzr7lt3OU09vwQwhkpOPPYv2Y/edit?usp=sharing"",""งบพรบ!DY83"")"),0)</f>
        <v>0</v>
      </c>
      <c r="M308" s="48">
        <f ca="1">IFERROR(__xludf.DUMMYFUNCTION("IMPORTRANGE(""https://docs.google.com/spreadsheets/d/1-uDff_7J0KD5mKrp0Vvzr7lt3OU09vwQwhkpOPPYv2Y/edit?usp=sharing"",""งบพรบ!ED83"")"),0)</f>
        <v>0</v>
      </c>
      <c r="N308" s="48">
        <f ca="1">IFERROR(__xludf.DUMMYFUNCTION("IMPORTRANGE(""https://docs.google.com/spreadsheets/d/1-uDff_7J0KD5mKrp0Vvzr7lt3OU09vwQwhkpOPPYv2Y/edit?usp=sharing"",""งบพรบ!EF83"")"),0)</f>
        <v>0</v>
      </c>
      <c r="O308" s="48">
        <f ca="1">IF(L308&gt;0,N308*100/L308,0)</f>
        <v>0</v>
      </c>
      <c r="P308" s="48">
        <f ca="1">IF(M308&gt;0,N308*100/M308,0)</f>
        <v>0</v>
      </c>
    </row>
    <row r="309" spans="1:16" ht="18.75" hidden="1" x14ac:dyDescent="0.25">
      <c r="A309" s="137"/>
      <c r="B309" s="42"/>
      <c r="C309" s="42"/>
      <c r="D309" s="43" t="s">
        <v>21</v>
      </c>
      <c r="E309" s="42"/>
      <c r="F309" s="42"/>
      <c r="G309" s="44"/>
      <c r="H309" s="148" t="s">
        <v>12</v>
      </c>
      <c r="I309" s="145"/>
      <c r="J309" s="145"/>
      <c r="K309" s="146"/>
      <c r="L309" s="48">
        <f ca="1">L310+L311</f>
        <v>0</v>
      </c>
      <c r="M309" s="48">
        <f ca="1">M310+M311</f>
        <v>0</v>
      </c>
      <c r="N309" s="48">
        <f ca="1">N310+N311</f>
        <v>0</v>
      </c>
      <c r="O309" s="48">
        <f ca="1">IF(L309&gt;0,N309*100/L309,0)</f>
        <v>0</v>
      </c>
      <c r="P309" s="48">
        <f ca="1">IF(M309&gt;0,N309*100/M309,0)</f>
        <v>0</v>
      </c>
    </row>
    <row r="310" spans="1:16" ht="18.75" hidden="1" x14ac:dyDescent="0.25">
      <c r="A310" s="137"/>
      <c r="B310" s="42"/>
      <c r="C310" s="42"/>
      <c r="D310" s="42"/>
      <c r="E310" s="296" t="s">
        <v>18</v>
      </c>
      <c r="F310" s="42"/>
      <c r="G310" s="44"/>
      <c r="H310" s="147" t="s">
        <v>12</v>
      </c>
      <c r="I310" s="145"/>
      <c r="J310" s="145"/>
      <c r="K310" s="146"/>
      <c r="L310" s="51">
        <v>0</v>
      </c>
      <c r="M310" s="51">
        <v>0</v>
      </c>
      <c r="N310" s="51">
        <v>0</v>
      </c>
      <c r="O310" s="51">
        <f>IF(L310&gt;0,N310*100/L310,0)</f>
        <v>0</v>
      </c>
      <c r="P310" s="51">
        <f>IF(M310&gt;0,N310*100/M310,0)</f>
        <v>0</v>
      </c>
    </row>
    <row r="311" spans="1:16" ht="18.75" hidden="1" x14ac:dyDescent="0.25">
      <c r="A311" s="137"/>
      <c r="B311" s="42"/>
      <c r="C311" s="42"/>
      <c r="D311" s="42"/>
      <c r="E311" s="52" t="s">
        <v>19</v>
      </c>
      <c r="F311" s="42"/>
      <c r="G311" s="44"/>
      <c r="H311" s="148" t="s">
        <v>12</v>
      </c>
      <c r="I311" s="145"/>
      <c r="J311" s="145"/>
      <c r="K311" s="146"/>
      <c r="L311" s="48">
        <f ca="1">IFERROR(__xludf.DUMMYFUNCTION("IMPORTRANGE(""https://docs.google.com/spreadsheets/d/1-uDff_7J0KD5mKrp0Vvzr7lt3OU09vwQwhkpOPPYv2Y/edit?usp=sharing"",""งบพรบ!EB83"")"),0)</f>
        <v>0</v>
      </c>
      <c r="M311" s="48">
        <f ca="1">IFERROR(__xludf.DUMMYFUNCTION("IMPORTRANGE(""https://docs.google.com/spreadsheets/d/1-uDff_7J0KD5mKrp0Vvzr7lt3OU09vwQwhkpOPPYv2Y/edit?usp=sharing"",""งบพรบ!EE83"")"),0)</f>
        <v>0</v>
      </c>
      <c r="N311" s="48">
        <f ca="1">IFERROR(__xludf.DUMMYFUNCTION("IMPORTRANGE(""https://docs.google.com/spreadsheets/d/1-uDff_7J0KD5mKrp0Vvzr7lt3OU09vwQwhkpOPPYv2Y/edit?usp=sharing"",""งบพรบ!EG83"")"),0)</f>
        <v>0</v>
      </c>
      <c r="O311" s="48">
        <f ca="1">IF(L311&gt;0,N311*100/L311,0)</f>
        <v>0</v>
      </c>
      <c r="P311" s="48">
        <f ca="1">IF(M311&gt;0,N311*100/M311,0)</f>
        <v>0</v>
      </c>
    </row>
    <row r="312" spans="1:16" ht="19.5" hidden="1" x14ac:dyDescent="0.3">
      <c r="A312" s="149"/>
      <c r="B312" s="150"/>
      <c r="C312" s="198" t="s">
        <v>16</v>
      </c>
      <c r="D312" s="473" t="s">
        <v>36</v>
      </c>
      <c r="E312" s="152"/>
      <c r="F312" s="152"/>
      <c r="G312" s="153"/>
      <c r="H312" s="154"/>
      <c r="I312" s="46"/>
      <c r="J312" s="46"/>
      <c r="K312" s="47"/>
      <c r="L312" s="47"/>
      <c r="M312" s="47"/>
      <c r="N312" s="47"/>
      <c r="O312" s="47"/>
      <c r="P312" s="47"/>
    </row>
    <row r="313" spans="1:16" ht="18.75" hidden="1" x14ac:dyDescent="0.25">
      <c r="A313" s="149"/>
      <c r="B313" s="150"/>
      <c r="C313" s="150"/>
      <c r="D313" s="160" t="s">
        <v>123</v>
      </c>
      <c r="E313" s="156"/>
      <c r="F313" s="156"/>
      <c r="G313" s="154"/>
      <c r="H313" s="154"/>
      <c r="I313" s="46"/>
      <c r="J313" s="163">
        <v>0</v>
      </c>
      <c r="K313" s="47"/>
      <c r="L313" s="47"/>
      <c r="M313" s="47"/>
      <c r="N313" s="47"/>
      <c r="O313" s="47"/>
      <c r="P313" s="47"/>
    </row>
    <row r="314" spans="1:16" ht="18.75" hidden="1" x14ac:dyDescent="0.25">
      <c r="A314" s="149"/>
      <c r="B314" s="150"/>
      <c r="C314" s="150"/>
      <c r="D314" s="160" t="s">
        <v>116</v>
      </c>
      <c r="E314" s="156"/>
      <c r="F314" s="156"/>
      <c r="G314" s="154"/>
      <c r="H314" s="251" t="s">
        <v>33</v>
      </c>
      <c r="I314" s="170">
        <f ca="1">IFERROR(__xludf.DUMMYFUNCTION("IMPORTRANGE(""https://docs.google.com/spreadsheets/d/1eHaY18a8A9IcSdp1K8H6x8fbOy06t2VsZHhMHf-1x7Y/edit?usp=sharing"",""แผน!EF83"")"),0)</f>
        <v>0</v>
      </c>
      <c r="J314" s="163">
        <v>0</v>
      </c>
      <c r="K314" s="48">
        <f ca="1">IF(I314&gt;0,J314*100/I314,0)</f>
        <v>0</v>
      </c>
      <c r="L314" s="47"/>
      <c r="M314" s="47"/>
      <c r="N314" s="47"/>
      <c r="O314" s="47"/>
      <c r="P314" s="47"/>
    </row>
    <row r="315" spans="1:16" ht="18.75" hidden="1" x14ac:dyDescent="0.25">
      <c r="A315" s="149"/>
      <c r="B315" s="150"/>
      <c r="C315" s="150"/>
      <c r="D315" s="160" t="s">
        <v>124</v>
      </c>
      <c r="E315" s="156"/>
      <c r="F315" s="156"/>
      <c r="G315" s="154"/>
      <c r="H315" s="251" t="s">
        <v>33</v>
      </c>
      <c r="I315" s="170">
        <f ca="1">IFERROR(__xludf.DUMMYFUNCTION("IMPORTRANGE(""https://docs.google.com/spreadsheets/d/1eHaY18a8A9IcSdp1K8H6x8fbOy06t2VsZHhMHf-1x7Y/edit?usp=sharing"",""แผน!EG83"")"),0)</f>
        <v>0</v>
      </c>
      <c r="J315" s="163">
        <v>0</v>
      </c>
      <c r="K315" s="48">
        <f ca="1">IF(I315&gt;0,J315*100/I315,0)</f>
        <v>0</v>
      </c>
      <c r="L315" s="47"/>
      <c r="M315" s="47"/>
      <c r="N315" s="47"/>
      <c r="O315" s="47"/>
      <c r="P315" s="47"/>
    </row>
    <row r="316" spans="1:16" ht="18.75" hidden="1" x14ac:dyDescent="0.25">
      <c r="A316" s="149"/>
      <c r="B316" s="150"/>
      <c r="C316" s="150"/>
      <c r="D316" s="160" t="s">
        <v>48</v>
      </c>
      <c r="E316" s="156"/>
      <c r="F316" s="156"/>
      <c r="G316" s="154"/>
      <c r="H316" s="251" t="s">
        <v>33</v>
      </c>
      <c r="I316" s="170">
        <f ca="1">IFERROR(__xludf.DUMMYFUNCTION("IMPORTRANGE(""https://docs.google.com/spreadsheets/d/1eHaY18a8A9IcSdp1K8H6x8fbOy06t2VsZHhMHf-1x7Y/edit?usp=sharing"",""แผน!EH83"")"),0)</f>
        <v>0</v>
      </c>
      <c r="J316" s="163">
        <v>0</v>
      </c>
      <c r="K316" s="48">
        <f ca="1">IF(I316&gt;0,J316*100/I316,0)</f>
        <v>0</v>
      </c>
      <c r="L316" s="47"/>
      <c r="M316" s="47"/>
      <c r="N316" s="47"/>
      <c r="O316" s="47"/>
      <c r="P316" s="47"/>
    </row>
    <row r="317" spans="1:16" ht="18.75" hidden="1" x14ac:dyDescent="0.25">
      <c r="A317" s="228"/>
      <c r="B317" s="229"/>
      <c r="C317" s="229"/>
      <c r="D317" s="296" t="s">
        <v>125</v>
      </c>
      <c r="E317" s="42"/>
      <c r="F317" s="42"/>
      <c r="G317" s="44"/>
      <c r="H317" s="50" t="s">
        <v>33</v>
      </c>
      <c r="I317" s="201">
        <f ca="1">IFERROR(__xludf.DUMMYFUNCTION("IMPORTRANGE(""https://docs.google.com/spreadsheets/d/1eHaY18a8A9IcSdp1K8H6x8fbOy06t2VsZHhMHf-1x7Y/edit?usp=sharing"",""แผน!EI83"")"),0)</f>
        <v>0</v>
      </c>
      <c r="J317" s="201">
        <v>0</v>
      </c>
      <c r="K317" s="51">
        <f ca="1">IF(I317&gt;0,J317*100/I317,0)</f>
        <v>0</v>
      </c>
      <c r="L317" s="47"/>
      <c r="M317" s="47"/>
      <c r="N317" s="47"/>
      <c r="O317" s="47"/>
      <c r="P317" s="47"/>
    </row>
    <row r="318" spans="1:16" ht="19.5" hidden="1" x14ac:dyDescent="0.3">
      <c r="A318" s="334" t="s">
        <v>126</v>
      </c>
      <c r="B318" s="335"/>
      <c r="C318" s="335"/>
      <c r="D318" s="336"/>
      <c r="E318" s="335"/>
      <c r="F318" s="335"/>
      <c r="G318" s="335"/>
      <c r="H318" s="336"/>
      <c r="I318" s="338"/>
      <c r="J318" s="338"/>
      <c r="K318" s="339"/>
      <c r="L318" s="339"/>
      <c r="M318" s="339"/>
      <c r="N318" s="339"/>
      <c r="O318" s="339"/>
      <c r="P318" s="339"/>
    </row>
    <row r="319" spans="1:16" ht="19.5" hidden="1" x14ac:dyDescent="0.3">
      <c r="A319" s="348"/>
      <c r="B319" s="341" t="s">
        <v>127</v>
      </c>
      <c r="C319" s="349"/>
      <c r="D319" s="350"/>
      <c r="E319" s="342"/>
      <c r="F319" s="342"/>
      <c r="G319" s="343"/>
      <c r="H319" s="344" t="s">
        <v>128</v>
      </c>
      <c r="I319" s="345">
        <f ca="1">I330</f>
        <v>0</v>
      </c>
      <c r="J319" s="345">
        <f>J330</f>
        <v>0</v>
      </c>
      <c r="K319" s="346">
        <f ca="1">IF(I319&gt;0,J319*100/I319,0)</f>
        <v>0</v>
      </c>
      <c r="L319" s="347"/>
      <c r="M319" s="347"/>
      <c r="N319" s="347"/>
      <c r="O319" s="347"/>
      <c r="P319" s="347"/>
    </row>
    <row r="320" spans="1:16" ht="19.5" hidden="1" x14ac:dyDescent="0.3">
      <c r="A320" s="137"/>
      <c r="B320" s="42"/>
      <c r="C320" s="198" t="s">
        <v>16</v>
      </c>
      <c r="D320" s="475" t="s">
        <v>17</v>
      </c>
      <c r="E320" s="42"/>
      <c r="F320" s="42"/>
      <c r="G320" s="44"/>
      <c r="H320" s="140" t="s">
        <v>12</v>
      </c>
      <c r="I320" s="46"/>
      <c r="J320" s="46"/>
      <c r="K320" s="47"/>
      <c r="L320" s="141">
        <f ca="1">L321+L322</f>
        <v>0</v>
      </c>
      <c r="M320" s="141">
        <f ca="1">M321+M322</f>
        <v>0</v>
      </c>
      <c r="N320" s="141">
        <f ca="1">N321+N322</f>
        <v>0</v>
      </c>
      <c r="O320" s="141">
        <f ca="1">IF(L320&gt;0,N320*100/L320,0)</f>
        <v>0</v>
      </c>
      <c r="P320" s="141">
        <f ca="1">IF(M320&gt;0,N320*100/M320,0)</f>
        <v>0</v>
      </c>
    </row>
    <row r="321" spans="1:16" ht="18.75" hidden="1" x14ac:dyDescent="0.25">
      <c r="A321" s="137"/>
      <c r="B321" s="42"/>
      <c r="C321" s="42"/>
      <c r="D321" s="42"/>
      <c r="E321" s="296" t="s">
        <v>18</v>
      </c>
      <c r="F321" s="42"/>
      <c r="G321" s="44"/>
      <c r="H321" s="142" t="s">
        <v>12</v>
      </c>
      <c r="I321" s="46"/>
      <c r="J321" s="46"/>
      <c r="K321" s="47"/>
      <c r="L321" s="51">
        <f>L324+L327</f>
        <v>0</v>
      </c>
      <c r="M321" s="51">
        <f>M324+M327</f>
        <v>0</v>
      </c>
      <c r="N321" s="51">
        <f>N324+N327</f>
        <v>0</v>
      </c>
      <c r="O321" s="51">
        <f>IF(L321&gt;0,N321*100/L321,0)</f>
        <v>0</v>
      </c>
      <c r="P321" s="51">
        <f>IF(M321&gt;0,N321*100/M321,0)</f>
        <v>0</v>
      </c>
    </row>
    <row r="322" spans="1:16" ht="18.75" hidden="1" x14ac:dyDescent="0.25">
      <c r="A322" s="137"/>
      <c r="B322" s="42"/>
      <c r="C322" s="42"/>
      <c r="D322" s="42"/>
      <c r="E322" s="52" t="s">
        <v>19</v>
      </c>
      <c r="F322" s="42"/>
      <c r="G322" s="44"/>
      <c r="H322" s="143" t="s">
        <v>12</v>
      </c>
      <c r="I322" s="46"/>
      <c r="J322" s="46"/>
      <c r="K322" s="47"/>
      <c r="L322" s="48">
        <f ca="1">L325+L328</f>
        <v>0</v>
      </c>
      <c r="M322" s="48">
        <f ca="1">M325+M328</f>
        <v>0</v>
      </c>
      <c r="N322" s="48">
        <f ca="1">N325+N328</f>
        <v>0</v>
      </c>
      <c r="O322" s="48">
        <f ca="1">IF(L322&gt;0,N322*100/L322,0)</f>
        <v>0</v>
      </c>
      <c r="P322" s="48">
        <f ca="1">IF(M322&gt;0,N322*100/M322,0)</f>
        <v>0</v>
      </c>
    </row>
    <row r="323" spans="1:16" ht="18.75" hidden="1" x14ac:dyDescent="0.25">
      <c r="A323" s="137"/>
      <c r="B323" s="42"/>
      <c r="C323" s="42"/>
      <c r="D323" s="43" t="s">
        <v>20</v>
      </c>
      <c r="E323" s="42"/>
      <c r="F323" s="42"/>
      <c r="G323" s="44"/>
      <c r="H323" s="144" t="s">
        <v>12</v>
      </c>
      <c r="I323" s="145"/>
      <c r="J323" s="145"/>
      <c r="K323" s="146"/>
      <c r="L323" s="48">
        <f ca="1">L324+L325</f>
        <v>0</v>
      </c>
      <c r="M323" s="48">
        <f ca="1">M324+M325</f>
        <v>0</v>
      </c>
      <c r="N323" s="48">
        <f ca="1">N324+N325</f>
        <v>0</v>
      </c>
      <c r="O323" s="48">
        <f ca="1">IF(L323&gt;0,N323*100/L323,0)</f>
        <v>0</v>
      </c>
      <c r="P323" s="48">
        <f ca="1">IF(M323&gt;0,N323*100/M323,0)</f>
        <v>0</v>
      </c>
    </row>
    <row r="324" spans="1:16" ht="18.75" hidden="1" x14ac:dyDescent="0.25">
      <c r="A324" s="137"/>
      <c r="B324" s="42"/>
      <c r="C324" s="42"/>
      <c r="D324" s="42"/>
      <c r="E324" s="296" t="s">
        <v>34</v>
      </c>
      <c r="F324" s="42"/>
      <c r="G324" s="44"/>
      <c r="H324" s="147" t="s">
        <v>12</v>
      </c>
      <c r="I324" s="145"/>
      <c r="J324" s="145"/>
      <c r="K324" s="146"/>
      <c r="L324" s="51">
        <v>0</v>
      </c>
      <c r="M324" s="51">
        <v>0</v>
      </c>
      <c r="N324" s="51">
        <v>0</v>
      </c>
      <c r="O324" s="51">
        <f>IF(L324&gt;0,N324*100/L324,0)</f>
        <v>0</v>
      </c>
      <c r="P324" s="51">
        <f>IF(M324&gt;0,N324*100/M324,0)</f>
        <v>0</v>
      </c>
    </row>
    <row r="325" spans="1:16" ht="18.75" hidden="1" x14ac:dyDescent="0.25">
      <c r="A325" s="137"/>
      <c r="B325" s="42"/>
      <c r="C325" s="42"/>
      <c r="D325" s="42"/>
      <c r="E325" s="52" t="s">
        <v>35</v>
      </c>
      <c r="F325" s="42"/>
      <c r="G325" s="44"/>
      <c r="H325" s="144" t="s">
        <v>12</v>
      </c>
      <c r="I325" s="145"/>
      <c r="J325" s="145"/>
      <c r="K325" s="146"/>
      <c r="L325" s="48">
        <f ca="1">IFERROR(__xludf.DUMMYFUNCTION("IMPORTRANGE(""https://docs.google.com/spreadsheets/d/1-uDff_7J0KD5mKrp0Vvzr7lt3OU09vwQwhkpOPPYv2Y/edit?usp=sharing"",""งบพรบ!EI83"")"),0)</f>
        <v>0</v>
      </c>
      <c r="M325" s="48">
        <f ca="1">IFERROR(__xludf.DUMMYFUNCTION("IMPORTRANGE(""https://docs.google.com/spreadsheets/d/1-uDff_7J0KD5mKrp0Vvzr7lt3OU09vwQwhkpOPPYv2Y/edit?usp=sharing"",""งบพรบ!EN83"")"),0)</f>
        <v>0</v>
      </c>
      <c r="N325" s="48">
        <f ca="1">IFERROR(__xludf.DUMMYFUNCTION("IMPORTRANGE(""https://docs.google.com/spreadsheets/d/1-uDff_7J0KD5mKrp0Vvzr7lt3OU09vwQwhkpOPPYv2Y/edit?usp=sharing"",""งบพรบ!EP83"")"),0)</f>
        <v>0</v>
      </c>
      <c r="O325" s="48">
        <f ca="1">IF(L325&gt;0,N325*100/L325,0)</f>
        <v>0</v>
      </c>
      <c r="P325" s="48">
        <f ca="1">IF(M325&gt;0,N325*100/M325,0)</f>
        <v>0</v>
      </c>
    </row>
    <row r="326" spans="1:16" ht="18.75" hidden="1" x14ac:dyDescent="0.25">
      <c r="A326" s="137"/>
      <c r="B326" s="42"/>
      <c r="C326" s="42"/>
      <c r="D326" s="43" t="s">
        <v>21</v>
      </c>
      <c r="E326" s="42"/>
      <c r="F326" s="42"/>
      <c r="G326" s="44"/>
      <c r="H326" s="148" t="s">
        <v>12</v>
      </c>
      <c r="I326" s="145"/>
      <c r="J326" s="145"/>
      <c r="K326" s="146"/>
      <c r="L326" s="48">
        <f ca="1">L327+L328</f>
        <v>0</v>
      </c>
      <c r="M326" s="48">
        <f ca="1">M327+M328</f>
        <v>0</v>
      </c>
      <c r="N326" s="48">
        <f ca="1">N327+N328</f>
        <v>0</v>
      </c>
      <c r="O326" s="48">
        <f ca="1">IF(L326&gt;0,N326*100/L326,0)</f>
        <v>0</v>
      </c>
      <c r="P326" s="48">
        <f ca="1">IF(M326&gt;0,N326*100/M326,0)</f>
        <v>0</v>
      </c>
    </row>
    <row r="327" spans="1:16" ht="18.75" hidden="1" x14ac:dyDescent="0.25">
      <c r="A327" s="137"/>
      <c r="B327" s="42"/>
      <c r="C327" s="42"/>
      <c r="D327" s="42"/>
      <c r="E327" s="296" t="s">
        <v>18</v>
      </c>
      <c r="F327" s="42"/>
      <c r="G327" s="44"/>
      <c r="H327" s="147" t="s">
        <v>12</v>
      </c>
      <c r="I327" s="145"/>
      <c r="J327" s="145"/>
      <c r="K327" s="146"/>
      <c r="L327" s="51">
        <v>0</v>
      </c>
      <c r="M327" s="51">
        <v>0</v>
      </c>
      <c r="N327" s="51">
        <v>0</v>
      </c>
      <c r="O327" s="51">
        <f>IF(L327&gt;0,N327*100/L327,0)</f>
        <v>0</v>
      </c>
      <c r="P327" s="51">
        <f>IF(M327&gt;0,N327*100/M327,0)</f>
        <v>0</v>
      </c>
    </row>
    <row r="328" spans="1:16" ht="18.75" hidden="1" x14ac:dyDescent="0.25">
      <c r="A328" s="137"/>
      <c r="B328" s="42"/>
      <c r="C328" s="42"/>
      <c r="D328" s="42"/>
      <c r="E328" s="52" t="s">
        <v>19</v>
      </c>
      <c r="F328" s="42"/>
      <c r="G328" s="44"/>
      <c r="H328" s="148" t="s">
        <v>12</v>
      </c>
      <c r="I328" s="145"/>
      <c r="J328" s="145"/>
      <c r="K328" s="146"/>
      <c r="L328" s="48">
        <f ca="1">IFERROR(__xludf.DUMMYFUNCTION("IMPORTRANGE(""https://docs.google.com/spreadsheets/d/1-uDff_7J0KD5mKrp0Vvzr7lt3OU09vwQwhkpOPPYv2Y/edit?usp=sharing"",""งบพรบ!EL83"")"),0)</f>
        <v>0</v>
      </c>
      <c r="M328" s="48">
        <f ca="1">IFERROR(__xludf.DUMMYFUNCTION("IMPORTRANGE(""https://docs.google.com/spreadsheets/d/1-uDff_7J0KD5mKrp0Vvzr7lt3OU09vwQwhkpOPPYv2Y/edit?usp=sharing"",""งบพรบ!EO83"")"),0)</f>
        <v>0</v>
      </c>
      <c r="N328" s="48">
        <f ca="1">IFERROR(__xludf.DUMMYFUNCTION("IMPORTRANGE(""https://docs.google.com/spreadsheets/d/1-uDff_7J0KD5mKrp0Vvzr7lt3OU09vwQwhkpOPPYv2Y/edit?usp=sharing"",""งบพรบ!EQ83"")"),0)</f>
        <v>0</v>
      </c>
      <c r="O328" s="48">
        <f ca="1">IF(L328&gt;0,N328*100/L328,0)</f>
        <v>0</v>
      </c>
      <c r="P328" s="48">
        <f ca="1">IF(M328&gt;0,N328*100/M328,0)</f>
        <v>0</v>
      </c>
    </row>
    <row r="329" spans="1:16" ht="19.5" hidden="1" x14ac:dyDescent="0.3">
      <c r="A329" s="149"/>
      <c r="B329" s="150"/>
      <c r="C329" s="198" t="s">
        <v>16</v>
      </c>
      <c r="D329" s="473" t="s">
        <v>36</v>
      </c>
      <c r="E329" s="152"/>
      <c r="F329" s="152"/>
      <c r="G329" s="153"/>
      <c r="H329" s="154"/>
      <c r="I329" s="145"/>
      <c r="J329" s="46"/>
      <c r="K329" s="47"/>
      <c r="L329" s="47"/>
      <c r="M329" s="47"/>
      <c r="N329" s="47"/>
      <c r="O329" s="146"/>
      <c r="P329" s="146"/>
    </row>
    <row r="330" spans="1:16" ht="18.75" hidden="1" x14ac:dyDescent="0.25">
      <c r="A330" s="149"/>
      <c r="B330" s="150"/>
      <c r="C330" s="150"/>
      <c r="D330" s="155" t="s">
        <v>129</v>
      </c>
      <c r="E330" s="156"/>
      <c r="F330" s="156"/>
      <c r="G330" s="154"/>
      <c r="H330" s="45" t="s">
        <v>128</v>
      </c>
      <c r="I330" s="170">
        <f ca="1">IFERROR(__xludf.DUMMYFUNCTION("IMPORTRANGE(""https://docs.google.com/spreadsheets/d/1eHaY18a8A9IcSdp1K8H6x8fbOy06t2VsZHhMHf-1x7Y/edit?usp=sharing"",""แผน!EJ83"")"),0)</f>
        <v>0</v>
      </c>
      <c r="J330" s="163">
        <v>0</v>
      </c>
      <c r="K330" s="48">
        <f ca="1">IF(I330&gt;0,J330*100/I330,0)</f>
        <v>0</v>
      </c>
      <c r="L330" s="47"/>
      <c r="M330" s="47"/>
      <c r="N330" s="47"/>
      <c r="O330" s="146"/>
      <c r="P330" s="146"/>
    </row>
    <row r="331" spans="1:16" ht="19.5" x14ac:dyDescent="0.3">
      <c r="A331" s="334" t="s">
        <v>130</v>
      </c>
      <c r="B331" s="335"/>
      <c r="C331" s="335"/>
      <c r="D331" s="336"/>
      <c r="E331" s="335"/>
      <c r="F331" s="335"/>
      <c r="G331" s="335"/>
      <c r="H331" s="336"/>
      <c r="I331" s="338"/>
      <c r="J331" s="338"/>
      <c r="K331" s="339"/>
      <c r="L331" s="339"/>
      <c r="M331" s="339"/>
      <c r="N331" s="339"/>
      <c r="O331" s="339"/>
      <c r="P331" s="339"/>
    </row>
    <row r="332" spans="1:16" ht="19.5" x14ac:dyDescent="0.3">
      <c r="A332" s="340"/>
      <c r="B332" s="341" t="s">
        <v>131</v>
      </c>
      <c r="C332" s="350"/>
      <c r="D332" s="342"/>
      <c r="E332" s="342"/>
      <c r="F332" s="342"/>
      <c r="G332" s="343"/>
      <c r="H332" s="344" t="s">
        <v>33</v>
      </c>
      <c r="I332" s="351">
        <f ca="1">I344</f>
        <v>120</v>
      </c>
      <c r="J332" s="352">
        <f ca="1">J344+J347+J348+J349+J353</f>
        <v>139</v>
      </c>
      <c r="K332" s="353">
        <f ca="1">IF(I332&gt;0,J332*100/I332,0)</f>
        <v>115.83333333333333</v>
      </c>
      <c r="L332" s="347"/>
      <c r="M332" s="347"/>
      <c r="N332" s="347"/>
      <c r="O332" s="347"/>
      <c r="P332" s="347"/>
    </row>
    <row r="333" spans="1:16" ht="19.5" x14ac:dyDescent="0.3">
      <c r="A333" s="137"/>
      <c r="B333" s="42"/>
      <c r="C333" s="198" t="s">
        <v>16</v>
      </c>
      <c r="D333" s="475" t="s">
        <v>17</v>
      </c>
      <c r="E333" s="42"/>
      <c r="F333" s="42"/>
      <c r="G333" s="44"/>
      <c r="H333" s="140" t="s">
        <v>12</v>
      </c>
      <c r="I333" s="46"/>
      <c r="J333" s="46"/>
      <c r="K333" s="47"/>
      <c r="L333" s="141">
        <f ca="1">L334+L335</f>
        <v>216600</v>
      </c>
      <c r="M333" s="141">
        <f ca="1">M334+M335</f>
        <v>163350</v>
      </c>
      <c r="N333" s="141">
        <f ca="1">N334+N335</f>
        <v>40980</v>
      </c>
      <c r="O333" s="141">
        <f ca="1">IF(L333&gt;0,N333*100/L333,0)</f>
        <v>18.9196675900277</v>
      </c>
      <c r="P333" s="141">
        <f ca="1">IF(M333&gt;0,N333*100/M333,0)</f>
        <v>25.087235996326907</v>
      </c>
    </row>
    <row r="334" spans="1:16" ht="18.75" hidden="1" x14ac:dyDescent="0.25">
      <c r="A334" s="137"/>
      <c r="B334" s="42"/>
      <c r="C334" s="42"/>
      <c r="D334" s="42"/>
      <c r="E334" s="296" t="s">
        <v>18</v>
      </c>
      <c r="F334" s="42"/>
      <c r="G334" s="44"/>
      <c r="H334" s="142" t="s">
        <v>12</v>
      </c>
      <c r="I334" s="46"/>
      <c r="J334" s="46"/>
      <c r="K334" s="47"/>
      <c r="L334" s="51">
        <f>L337+L340</f>
        <v>0</v>
      </c>
      <c r="M334" s="51">
        <f>M337+M340</f>
        <v>0</v>
      </c>
      <c r="N334" s="51">
        <f>N337+N340</f>
        <v>0</v>
      </c>
      <c r="O334" s="51">
        <f>IF(L334&gt;0,N334*100/L334,0)</f>
        <v>0</v>
      </c>
      <c r="P334" s="51">
        <f>IF(M334&gt;0,N334*100/M334,0)</f>
        <v>0</v>
      </c>
    </row>
    <row r="335" spans="1:16" ht="18.75" x14ac:dyDescent="0.25">
      <c r="A335" s="137"/>
      <c r="B335" s="42"/>
      <c r="C335" s="42"/>
      <c r="D335" s="42"/>
      <c r="E335" s="52" t="s">
        <v>19</v>
      </c>
      <c r="F335" s="42"/>
      <c r="G335" s="44"/>
      <c r="H335" s="143" t="s">
        <v>12</v>
      </c>
      <c r="I335" s="46"/>
      <c r="J335" s="46"/>
      <c r="K335" s="47"/>
      <c r="L335" s="48">
        <f ca="1">L338+L341</f>
        <v>216600</v>
      </c>
      <c r="M335" s="48">
        <f ca="1">M338+M341</f>
        <v>163350</v>
      </c>
      <c r="N335" s="48">
        <f ca="1">N338+N341</f>
        <v>40980</v>
      </c>
      <c r="O335" s="48">
        <f ca="1">IF(L335&gt;0,N335*100/L335,0)</f>
        <v>18.9196675900277</v>
      </c>
      <c r="P335" s="48">
        <f ca="1">IF(M335&gt;0,N335*100/M335,0)</f>
        <v>25.087235996326907</v>
      </c>
    </row>
    <row r="336" spans="1:16" ht="18.75" x14ac:dyDescent="0.25">
      <c r="A336" s="137"/>
      <c r="B336" s="42"/>
      <c r="C336" s="42"/>
      <c r="D336" s="43" t="s">
        <v>20</v>
      </c>
      <c r="E336" s="42"/>
      <c r="F336" s="42"/>
      <c r="G336" s="44"/>
      <c r="H336" s="144" t="s">
        <v>12</v>
      </c>
      <c r="I336" s="145"/>
      <c r="J336" s="145"/>
      <c r="K336" s="146"/>
      <c r="L336" s="48">
        <f ca="1">L337+L338</f>
        <v>216600</v>
      </c>
      <c r="M336" s="48">
        <f ca="1">M337+M338</f>
        <v>163350</v>
      </c>
      <c r="N336" s="48">
        <f ca="1">N337+N338</f>
        <v>40980</v>
      </c>
      <c r="O336" s="48">
        <f ca="1">IF(L336&gt;0,N336*100/L336,0)</f>
        <v>18.9196675900277</v>
      </c>
      <c r="P336" s="48">
        <f ca="1">IF(M336&gt;0,N336*100/M336,0)</f>
        <v>25.087235996326907</v>
      </c>
    </row>
    <row r="337" spans="1:16" ht="18.75" hidden="1" x14ac:dyDescent="0.25">
      <c r="A337" s="137"/>
      <c r="B337" s="42"/>
      <c r="C337" s="42"/>
      <c r="D337" s="42"/>
      <c r="E337" s="296" t="s">
        <v>34</v>
      </c>
      <c r="F337" s="42"/>
      <c r="G337" s="44"/>
      <c r="H337" s="147" t="s">
        <v>12</v>
      </c>
      <c r="I337" s="145"/>
      <c r="J337" s="145"/>
      <c r="K337" s="146"/>
      <c r="L337" s="51">
        <v>0</v>
      </c>
      <c r="M337" s="51">
        <v>0</v>
      </c>
      <c r="N337" s="51">
        <v>0</v>
      </c>
      <c r="O337" s="51">
        <f>IF(L337&gt;0,N337*100/L337,0)</f>
        <v>0</v>
      </c>
      <c r="P337" s="51">
        <f>IF(M337&gt;0,N337*100/M337,0)</f>
        <v>0</v>
      </c>
    </row>
    <row r="338" spans="1:16" ht="18.75" x14ac:dyDescent="0.25">
      <c r="A338" s="137"/>
      <c r="B338" s="42"/>
      <c r="C338" s="42"/>
      <c r="D338" s="42"/>
      <c r="E338" s="52" t="s">
        <v>35</v>
      </c>
      <c r="F338" s="42"/>
      <c r="G338" s="44"/>
      <c r="H338" s="144" t="s">
        <v>12</v>
      </c>
      <c r="I338" s="145"/>
      <c r="J338" s="145"/>
      <c r="K338" s="146"/>
      <c r="L338" s="48">
        <f ca="1">IFERROR(__xludf.DUMMYFUNCTION("IMPORTRANGE(""https://docs.google.com/spreadsheets/d/1-uDff_7J0KD5mKrp0Vvzr7lt3OU09vwQwhkpOPPYv2Y/edit?usp=sharing"",""งบพรบ!ES83"")"),216600)</f>
        <v>216600</v>
      </c>
      <c r="M338" s="48">
        <f ca="1">IFERROR(__xludf.DUMMYFUNCTION("IMPORTRANGE(""https://docs.google.com/spreadsheets/d/1-uDff_7J0KD5mKrp0Vvzr7lt3OU09vwQwhkpOPPYv2Y/edit?usp=sharing"",""งบพรบ!EX83"")"),163350)</f>
        <v>163350</v>
      </c>
      <c r="N338" s="48">
        <f ca="1">IFERROR(__xludf.DUMMYFUNCTION("IMPORTRANGE(""https://docs.google.com/spreadsheets/d/1-uDff_7J0KD5mKrp0Vvzr7lt3OU09vwQwhkpOPPYv2Y/edit?usp=sharing"",""งบพรบ!EZ83"")"),40980)</f>
        <v>40980</v>
      </c>
      <c r="O338" s="48">
        <f ca="1">IF(L338&gt;0,N338*100/L338,0)</f>
        <v>18.9196675900277</v>
      </c>
      <c r="P338" s="48">
        <f ca="1">IF(M338&gt;0,N338*100/M338,0)</f>
        <v>25.087235996326907</v>
      </c>
    </row>
    <row r="339" spans="1:16" ht="18.75" x14ac:dyDescent="0.25">
      <c r="A339" s="137"/>
      <c r="B339" s="42"/>
      <c r="C339" s="42"/>
      <c r="D339" s="43" t="s">
        <v>21</v>
      </c>
      <c r="E339" s="42"/>
      <c r="F339" s="42"/>
      <c r="G339" s="44"/>
      <c r="H339" s="148" t="s">
        <v>12</v>
      </c>
      <c r="I339" s="145"/>
      <c r="J339" s="145"/>
      <c r="K339" s="146"/>
      <c r="L339" s="48">
        <f ca="1">L340+L341</f>
        <v>0</v>
      </c>
      <c r="M339" s="48">
        <f ca="1">M340+M341</f>
        <v>0</v>
      </c>
      <c r="N339" s="48">
        <f ca="1">N340+N341</f>
        <v>0</v>
      </c>
      <c r="O339" s="48">
        <f ca="1">IF(L339&gt;0,N339*100/L339,0)</f>
        <v>0</v>
      </c>
      <c r="P339" s="48">
        <f ca="1">IF(M339&gt;0,N339*100/M339,0)</f>
        <v>0</v>
      </c>
    </row>
    <row r="340" spans="1:16" ht="18.75" hidden="1" x14ac:dyDescent="0.25">
      <c r="A340" s="137"/>
      <c r="B340" s="42"/>
      <c r="C340" s="42"/>
      <c r="D340" s="42"/>
      <c r="E340" s="296" t="s">
        <v>18</v>
      </c>
      <c r="F340" s="42"/>
      <c r="G340" s="44"/>
      <c r="H340" s="147" t="s">
        <v>12</v>
      </c>
      <c r="I340" s="145"/>
      <c r="J340" s="145"/>
      <c r="K340" s="146"/>
      <c r="L340" s="51">
        <v>0</v>
      </c>
      <c r="M340" s="51">
        <v>0</v>
      </c>
      <c r="N340" s="51">
        <v>0</v>
      </c>
      <c r="O340" s="51">
        <f>IF(L340&gt;0,N340*100/L340,0)</f>
        <v>0</v>
      </c>
      <c r="P340" s="51">
        <f>IF(M340&gt;0,N340*100/M340,0)</f>
        <v>0</v>
      </c>
    </row>
    <row r="341" spans="1:16" ht="18.75" x14ac:dyDescent="0.25">
      <c r="A341" s="137"/>
      <c r="B341" s="42"/>
      <c r="C341" s="42"/>
      <c r="D341" s="42"/>
      <c r="E341" s="52" t="s">
        <v>19</v>
      </c>
      <c r="F341" s="42"/>
      <c r="G341" s="44"/>
      <c r="H341" s="148" t="s">
        <v>12</v>
      </c>
      <c r="I341" s="145"/>
      <c r="J341" s="145"/>
      <c r="K341" s="146"/>
      <c r="L341" s="48">
        <f ca="1">IFERROR(__xludf.DUMMYFUNCTION("IMPORTRANGE(""https://docs.google.com/spreadsheets/d/1-uDff_7J0KD5mKrp0Vvzr7lt3OU09vwQwhkpOPPYv2Y/edit?usp=sharing"",""งบพรบ!EV83"")"),0)</f>
        <v>0</v>
      </c>
      <c r="M341" s="48">
        <f ca="1">IFERROR(__xludf.DUMMYFUNCTION("IMPORTRANGE(""https://docs.google.com/spreadsheets/d/1-uDff_7J0KD5mKrp0Vvzr7lt3OU09vwQwhkpOPPYv2Y/edit?usp=sharing"",""งบพรบ!EY83"")"),0)</f>
        <v>0</v>
      </c>
      <c r="N341" s="48">
        <f ca="1">IFERROR(__xludf.DUMMYFUNCTION("IMPORTRANGE(""https://docs.google.com/spreadsheets/d/1-uDff_7J0KD5mKrp0Vvzr7lt3OU09vwQwhkpOPPYv2Y/edit?usp=sharing"",""งบพรบ!FA83"")"),0)</f>
        <v>0</v>
      </c>
      <c r="O341" s="48">
        <f ca="1">IF(L341&gt;0,N341*100/L341,0)</f>
        <v>0</v>
      </c>
      <c r="P341" s="48">
        <f ca="1">IF(M341&gt;0,N341*100/M341,0)</f>
        <v>0</v>
      </c>
    </row>
    <row r="342" spans="1:16" ht="19.5" x14ac:dyDescent="0.3">
      <c r="A342" s="149"/>
      <c r="B342" s="150"/>
      <c r="C342" s="198" t="s">
        <v>16</v>
      </c>
      <c r="D342" s="222" t="s">
        <v>36</v>
      </c>
      <c r="E342" s="152"/>
      <c r="F342" s="152"/>
      <c r="G342" s="153"/>
      <c r="H342" s="44"/>
      <c r="I342" s="46"/>
      <c r="J342" s="46"/>
      <c r="K342" s="47"/>
      <c r="L342" s="47"/>
      <c r="M342" s="47"/>
      <c r="N342" s="47"/>
      <c r="O342" s="146"/>
      <c r="P342" s="146"/>
    </row>
    <row r="343" spans="1:16" ht="19.5" x14ac:dyDescent="0.3">
      <c r="A343" s="354"/>
      <c r="B343" s="355"/>
      <c r="C343" s="356"/>
      <c r="D343" s="355"/>
      <c r="E343" s="476" t="s">
        <v>132</v>
      </c>
      <c r="F343" s="355"/>
      <c r="G343" s="358"/>
      <c r="H343" s="359" t="s">
        <v>33</v>
      </c>
      <c r="I343" s="360">
        <v>0</v>
      </c>
      <c r="J343" s="360">
        <f ca="1">J344+J347+J348+J349</f>
        <v>0</v>
      </c>
      <c r="K343" s="361">
        <v>0</v>
      </c>
      <c r="L343" s="362"/>
      <c r="M343" s="362"/>
      <c r="N343" s="362"/>
      <c r="O343" s="362"/>
      <c r="P343" s="362"/>
    </row>
    <row r="344" spans="1:16" ht="18.75" x14ac:dyDescent="0.25">
      <c r="A344" s="228"/>
      <c r="B344" s="42"/>
      <c r="C344" s="229"/>
      <c r="D344" s="156"/>
      <c r="E344" s="160" t="s">
        <v>133</v>
      </c>
      <c r="F344" s="42"/>
      <c r="G344" s="44"/>
      <c r="H344" s="231" t="s">
        <v>33</v>
      </c>
      <c r="I344" s="170">
        <f ca="1">IFERROR(__xludf.DUMMYFUNCTION("IMPORTRANGE(""https://docs.google.com/spreadsheets/d/1eHaY18a8A9IcSdp1K8H6x8fbOy06t2VsZHhMHf-1x7Y/edit?usp=sharing"",""แผน!EK83"")"),120)</f>
        <v>120</v>
      </c>
      <c r="J344" s="170">
        <f ca="1">IFERROR(__xludf.DUMMYFUNCTION("IMPORTRANGE(""https://docs.google.com/spreadsheets/d/1awYsYK3VOup2i3Pq_Yjnu8DRu_mYwSBnCR2QPthd0rU/edit?usp=sharing"",""ศูนย์ยกเว้นโฉนด!D83"")"),0)</f>
        <v>0</v>
      </c>
      <c r="K344" s="48">
        <f ca="1">IF(I344&gt;0,J344*100/I344,0)</f>
        <v>0</v>
      </c>
      <c r="L344" s="47"/>
      <c r="M344" s="47"/>
      <c r="N344" s="47"/>
      <c r="O344" s="47"/>
      <c r="P344" s="47"/>
    </row>
    <row r="345" spans="1:16" ht="18.75" x14ac:dyDescent="0.25">
      <c r="A345" s="228"/>
      <c r="B345" s="42"/>
      <c r="C345" s="229"/>
      <c r="D345" s="156"/>
      <c r="E345" s="160" t="s">
        <v>134</v>
      </c>
      <c r="F345" s="42"/>
      <c r="G345" s="44"/>
      <c r="H345" s="363"/>
      <c r="I345" s="46"/>
      <c r="J345" s="46"/>
      <c r="K345" s="47"/>
      <c r="L345" s="47"/>
      <c r="M345" s="47"/>
      <c r="N345" s="47"/>
      <c r="O345" s="47"/>
      <c r="P345" s="47"/>
    </row>
    <row r="346" spans="1:16" ht="18.75" x14ac:dyDescent="0.25">
      <c r="A346" s="228"/>
      <c r="B346" s="42"/>
      <c r="C346" s="229"/>
      <c r="D346" s="156"/>
      <c r="E346" s="156"/>
      <c r="F346" s="160" t="s">
        <v>135</v>
      </c>
      <c r="G346" s="44"/>
      <c r="H346" s="364" t="s">
        <v>136</v>
      </c>
      <c r="I346" s="170">
        <f ca="1">IFERROR(__xludf.DUMMYFUNCTION("IMPORTRANGE(""https://docs.google.com/spreadsheets/d/1eHaY18a8A9IcSdp1K8H6x8fbOy06t2VsZHhMHf-1x7Y/edit?usp=sharing"",""แผน!EL83"")"),1)</f>
        <v>1</v>
      </c>
      <c r="J346" s="170">
        <f ca="1">IFERROR(__xludf.DUMMYFUNCTION("IMPORTRANGE(""https://docs.google.com/spreadsheets/d/1awYsYK3VOup2i3Pq_Yjnu8DRu_mYwSBnCR2QPthd0rU/edit?usp=sharing"",""ศูนย์รวม!E83"")"),0)</f>
        <v>0</v>
      </c>
      <c r="K346" s="48">
        <f ca="1">IF(I346&gt;0,J346*100/I346,0)</f>
        <v>0</v>
      </c>
      <c r="L346" s="47"/>
      <c r="M346" s="47"/>
      <c r="N346" s="47"/>
      <c r="O346" s="47"/>
      <c r="P346" s="47"/>
    </row>
    <row r="347" spans="1:16" ht="18.75" x14ac:dyDescent="0.25">
      <c r="A347" s="228"/>
      <c r="B347" s="42"/>
      <c r="C347" s="229"/>
      <c r="D347" s="156"/>
      <c r="E347" s="156"/>
      <c r="F347" s="160" t="s">
        <v>137</v>
      </c>
      <c r="G347" s="44"/>
      <c r="H347" s="364" t="s">
        <v>33</v>
      </c>
      <c r="I347" s="46"/>
      <c r="J347" s="170">
        <f ca="1">IFERROR(__xludf.DUMMYFUNCTION("IMPORTRANGE(""https://docs.google.com/spreadsheets/d/1awYsYK3VOup2i3Pq_Yjnu8DRu_mYwSBnCR2QPthd0rU/edit?usp=sharing"",""ศูนย์ยกเว้นโฉนด!F83"")"),0)</f>
        <v>0</v>
      </c>
      <c r="K347" s="47"/>
      <c r="L347" s="47"/>
      <c r="M347" s="47"/>
      <c r="N347" s="47"/>
      <c r="O347" s="47"/>
      <c r="P347" s="47"/>
    </row>
    <row r="348" spans="1:16" ht="18.75" x14ac:dyDescent="0.25">
      <c r="A348" s="228"/>
      <c r="B348" s="42"/>
      <c r="C348" s="229"/>
      <c r="D348" s="156"/>
      <c r="E348" s="160" t="s">
        <v>138</v>
      </c>
      <c r="F348" s="156"/>
      <c r="G348" s="44"/>
      <c r="H348" s="364" t="s">
        <v>33</v>
      </c>
      <c r="I348" s="46"/>
      <c r="J348" s="170">
        <f ca="1">IFERROR(__xludf.DUMMYFUNCTION("IMPORTRANGE(""https://docs.google.com/spreadsheets/d/1awYsYK3VOup2i3Pq_Yjnu8DRu_mYwSBnCR2QPthd0rU/edit?usp=sharing"",""ศูนย์ยกเว้นโฉนด!G83"")"),0)</f>
        <v>0</v>
      </c>
      <c r="K348" s="47"/>
      <c r="L348" s="47"/>
      <c r="M348" s="47"/>
      <c r="N348" s="47"/>
      <c r="O348" s="47"/>
      <c r="P348" s="47"/>
    </row>
    <row r="349" spans="1:16" ht="18.75" x14ac:dyDescent="0.25">
      <c r="A349" s="228"/>
      <c r="B349" s="42"/>
      <c r="C349" s="229"/>
      <c r="D349" s="150"/>
      <c r="E349" s="160" t="s">
        <v>139</v>
      </c>
      <c r="F349" s="156"/>
      <c r="G349" s="44"/>
      <c r="H349" s="364" t="s">
        <v>33</v>
      </c>
      <c r="I349" s="46"/>
      <c r="J349" s="170">
        <f ca="1">IFERROR(__xludf.DUMMYFUNCTION("IMPORTRANGE(""https://docs.google.com/spreadsheets/d/1awYsYK3VOup2i3Pq_Yjnu8DRu_mYwSBnCR2QPthd0rU/edit?usp=sharing"",""ศูนย์ยกเว้นโฉนด!H83"")"),0)</f>
        <v>0</v>
      </c>
      <c r="K349" s="47"/>
      <c r="L349" s="47"/>
      <c r="M349" s="47"/>
      <c r="N349" s="47"/>
      <c r="O349" s="47"/>
      <c r="P349" s="47"/>
    </row>
    <row r="350" spans="1:16" ht="16.5" x14ac:dyDescent="0.25">
      <c r="A350" s="229"/>
      <c r="B350" s="42"/>
      <c r="C350" s="229"/>
      <c r="D350" s="365" t="str">
        <f ca="1">IFERROR(__xludf.DUMMYFUNCTION("IMPORTRANGE(""https://docs.google.com/spreadsheets/d/1gNPQPjxUj63ZZXIIIm2aX4x3w7PhAZpC9JuXdbpWwUQ/edit?usp=sharing"",""Sheet1!b3"")"),"#REF!")</f>
        <v>#REF!</v>
      </c>
      <c r="E350" s="42"/>
      <c r="F350" s="42"/>
      <c r="G350" s="44"/>
      <c r="H350" s="363"/>
      <c r="I350" s="46"/>
      <c r="J350" s="46"/>
      <c r="K350" s="47"/>
      <c r="L350" s="47"/>
      <c r="M350" s="47"/>
      <c r="N350" s="47"/>
      <c r="O350" s="47"/>
      <c r="P350" s="47"/>
    </row>
    <row r="351" spans="1:16" ht="19.5" x14ac:dyDescent="0.3">
      <c r="A351" s="234"/>
      <c r="B351" s="237"/>
      <c r="C351" s="235"/>
      <c r="D351" s="237"/>
      <c r="E351" s="474" t="s">
        <v>140</v>
      </c>
      <c r="F351" s="237"/>
      <c r="G351" s="238"/>
      <c r="H351" s="239" t="s">
        <v>33</v>
      </c>
      <c r="I351" s="240">
        <v>0</v>
      </c>
      <c r="J351" s="240">
        <f ca="1">J352+J353</f>
        <v>146</v>
      </c>
      <c r="K351" s="241">
        <v>0</v>
      </c>
      <c r="L351" s="242"/>
      <c r="M351" s="242"/>
      <c r="N351" s="242"/>
      <c r="O351" s="242"/>
      <c r="P351" s="242"/>
    </row>
    <row r="352" spans="1:16" ht="18.75" x14ac:dyDescent="0.25">
      <c r="A352" s="229"/>
      <c r="B352" s="42"/>
      <c r="C352" s="229"/>
      <c r="D352" s="156"/>
      <c r="E352" s="160" t="s">
        <v>141</v>
      </c>
      <c r="F352" s="42"/>
      <c r="G352" s="44"/>
      <c r="H352" s="143" t="s">
        <v>33</v>
      </c>
      <c r="I352" s="46"/>
      <c r="J352" s="170">
        <f ca="1">IFERROR(__xludf.DUMMYFUNCTION("IMPORTRANGE(""https://docs.google.com/spreadsheets/d/1awYsYK3VOup2i3Pq_Yjnu8DRu_mYwSBnCR2QPthd0rU/edit?usp=sharing"",""โฉนดM3!G83"")"),7)</f>
        <v>7</v>
      </c>
      <c r="K352" s="47"/>
      <c r="L352" s="47"/>
      <c r="M352" s="47"/>
      <c r="N352" s="47"/>
      <c r="O352" s="47"/>
      <c r="P352" s="47"/>
    </row>
    <row r="353" spans="1:16" ht="18.75" x14ac:dyDescent="0.25">
      <c r="A353" s="229"/>
      <c r="B353" s="42"/>
      <c r="C353" s="229"/>
      <c r="D353" s="156"/>
      <c r="E353" s="160" t="s">
        <v>142</v>
      </c>
      <c r="F353" s="42"/>
      <c r="G353" s="44"/>
      <c r="H353" s="143" t="s">
        <v>33</v>
      </c>
      <c r="I353" s="46"/>
      <c r="J353" s="170">
        <f ca="1">IFERROR(__xludf.DUMMYFUNCTION("IMPORTRANGE(""https://docs.google.com/spreadsheets/d/1awYsYK3VOup2i3Pq_Yjnu8DRu_mYwSBnCR2QPthd0rU/edit?usp=sharing"",""โฉนดM3!H83"")"),139)</f>
        <v>139</v>
      </c>
      <c r="K353" s="47"/>
      <c r="L353" s="47"/>
      <c r="M353" s="47"/>
      <c r="N353" s="47"/>
      <c r="O353" s="47"/>
      <c r="P353" s="47"/>
    </row>
    <row r="354" spans="1:16" ht="16.5" x14ac:dyDescent="0.25">
      <c r="A354" s="229"/>
      <c r="B354" s="42"/>
      <c r="C354" s="229"/>
      <c r="D354" s="365" t="str">
        <f ca="1">IFERROR(__xludf.DUMMYFUNCTION("IMPORTRANGE(""https://docs.google.com/spreadsheets/d/1gNPQPjxUj63ZZXIIIm2aX4x3w7PhAZpC9JuXdbpWwUQ/edit?usp=sharing"",""Sheet1!b3"")"),"#REF!")</f>
        <v>#REF!</v>
      </c>
      <c r="E354" s="42"/>
      <c r="F354" s="42"/>
      <c r="G354" s="44"/>
      <c r="H354" s="363"/>
      <c r="I354" s="46"/>
      <c r="J354" s="46"/>
      <c r="K354" s="47"/>
      <c r="L354" s="47"/>
      <c r="M354" s="47"/>
      <c r="N354" s="47"/>
      <c r="O354" s="47"/>
      <c r="P354" s="47"/>
    </row>
    <row r="355" spans="1:16" ht="19.5" x14ac:dyDescent="0.3">
      <c r="A355" s="340"/>
      <c r="B355" s="341" t="s">
        <v>143</v>
      </c>
      <c r="C355" s="350"/>
      <c r="D355" s="342"/>
      <c r="E355" s="342"/>
      <c r="F355" s="342"/>
      <c r="G355" s="343"/>
      <c r="H355" s="343"/>
      <c r="I355" s="367"/>
      <c r="J355" s="367"/>
      <c r="K355" s="347"/>
      <c r="L355" s="347"/>
      <c r="M355" s="347"/>
      <c r="N355" s="347"/>
      <c r="O355" s="347"/>
      <c r="P355" s="347"/>
    </row>
    <row r="356" spans="1:16" ht="19.5" x14ac:dyDescent="0.3">
      <c r="A356" s="137"/>
      <c r="B356" s="42"/>
      <c r="C356" s="198" t="s">
        <v>16</v>
      </c>
      <c r="D356" s="475" t="s">
        <v>17</v>
      </c>
      <c r="E356" s="42"/>
      <c r="F356" s="42"/>
      <c r="G356" s="44"/>
      <c r="H356" s="140" t="s">
        <v>12</v>
      </c>
      <c r="I356" s="46"/>
      <c r="J356" s="46"/>
      <c r="K356" s="47"/>
      <c r="L356" s="141">
        <f ca="1">L357+L358</f>
        <v>225445</v>
      </c>
      <c r="M356" s="141">
        <f ca="1">M357+M358</f>
        <v>173445</v>
      </c>
      <c r="N356" s="141">
        <f ca="1">N357+N358</f>
        <v>27880</v>
      </c>
      <c r="O356" s="141">
        <f ca="1">IF(L356&gt;0,N356*100/L356,0)</f>
        <v>12.36665262037304</v>
      </c>
      <c r="P356" s="141">
        <f ca="1">IF(M356&gt;0,N356*100/M356,0)</f>
        <v>16.074259851826227</v>
      </c>
    </row>
    <row r="357" spans="1:16" ht="18.75" hidden="1" x14ac:dyDescent="0.25">
      <c r="A357" s="137"/>
      <c r="B357" s="42"/>
      <c r="C357" s="42"/>
      <c r="D357" s="42"/>
      <c r="E357" s="296" t="s">
        <v>18</v>
      </c>
      <c r="F357" s="42"/>
      <c r="G357" s="44"/>
      <c r="H357" s="142" t="s">
        <v>12</v>
      </c>
      <c r="I357" s="46"/>
      <c r="J357" s="46"/>
      <c r="K357" s="47"/>
      <c r="L357" s="51">
        <f>L360+L363</f>
        <v>0</v>
      </c>
      <c r="M357" s="51">
        <f>M360+M363</f>
        <v>0</v>
      </c>
      <c r="N357" s="51">
        <f>N360+N363</f>
        <v>0</v>
      </c>
      <c r="O357" s="51">
        <f>IF(L357&gt;0,N357*100/L357,0)</f>
        <v>0</v>
      </c>
      <c r="P357" s="51">
        <f>IF(M357&gt;0,N357*100/M357,0)</f>
        <v>0</v>
      </c>
    </row>
    <row r="358" spans="1:16" ht="18.75" x14ac:dyDescent="0.25">
      <c r="A358" s="137"/>
      <c r="B358" s="42"/>
      <c r="C358" s="42"/>
      <c r="D358" s="42"/>
      <c r="E358" s="52" t="s">
        <v>19</v>
      </c>
      <c r="F358" s="42"/>
      <c r="G358" s="44"/>
      <c r="H358" s="143" t="s">
        <v>12</v>
      </c>
      <c r="I358" s="46"/>
      <c r="J358" s="46"/>
      <c r="K358" s="47"/>
      <c r="L358" s="48">
        <f ca="1">L361+L364</f>
        <v>225445</v>
      </c>
      <c r="M358" s="48">
        <f ca="1">M361+M364</f>
        <v>173445</v>
      </c>
      <c r="N358" s="48">
        <f ca="1">N361+N364</f>
        <v>27880</v>
      </c>
      <c r="O358" s="48">
        <f ca="1">IF(L358&gt;0,N358*100/L358,0)</f>
        <v>12.36665262037304</v>
      </c>
      <c r="P358" s="48">
        <f ca="1">IF(M358&gt;0,N358*100/M358,0)</f>
        <v>16.074259851826227</v>
      </c>
    </row>
    <row r="359" spans="1:16" ht="18.75" x14ac:dyDescent="0.25">
      <c r="A359" s="137"/>
      <c r="B359" s="42"/>
      <c r="C359" s="42"/>
      <c r="D359" s="43" t="s">
        <v>20</v>
      </c>
      <c r="E359" s="42"/>
      <c r="F359" s="42"/>
      <c r="G359" s="44"/>
      <c r="H359" s="144" t="s">
        <v>12</v>
      </c>
      <c r="I359" s="145"/>
      <c r="J359" s="145"/>
      <c r="K359" s="146"/>
      <c r="L359" s="48">
        <f ca="1">L360+L361</f>
        <v>225445</v>
      </c>
      <c r="M359" s="48">
        <f ca="1">M360+M361</f>
        <v>173445</v>
      </c>
      <c r="N359" s="48">
        <f ca="1">N360+N361</f>
        <v>27880</v>
      </c>
      <c r="O359" s="48">
        <f ca="1">IF(L359&gt;0,N359*100/L359,0)</f>
        <v>12.36665262037304</v>
      </c>
      <c r="P359" s="48">
        <f ca="1">IF(M359&gt;0,N359*100/M359,0)</f>
        <v>16.074259851826227</v>
      </c>
    </row>
    <row r="360" spans="1:16" ht="18.75" hidden="1" x14ac:dyDescent="0.25">
      <c r="A360" s="137"/>
      <c r="B360" s="42"/>
      <c r="C360" s="42"/>
      <c r="D360" s="42"/>
      <c r="E360" s="296" t="s">
        <v>34</v>
      </c>
      <c r="F360" s="42"/>
      <c r="G360" s="44"/>
      <c r="H360" s="147" t="s">
        <v>12</v>
      </c>
      <c r="I360" s="145"/>
      <c r="J360" s="145"/>
      <c r="K360" s="146"/>
      <c r="L360" s="51">
        <v>0</v>
      </c>
      <c r="M360" s="51">
        <v>0</v>
      </c>
      <c r="N360" s="51">
        <v>0</v>
      </c>
      <c r="O360" s="51">
        <f>IF(L360&gt;0,N360*100/L360,0)</f>
        <v>0</v>
      </c>
      <c r="P360" s="51">
        <f>IF(M360&gt;0,N360*100/M360,0)</f>
        <v>0</v>
      </c>
    </row>
    <row r="361" spans="1:16" ht="18.75" x14ac:dyDescent="0.25">
      <c r="A361" s="137"/>
      <c r="B361" s="42"/>
      <c r="C361" s="42"/>
      <c r="D361" s="42"/>
      <c r="E361" s="52" t="s">
        <v>35</v>
      </c>
      <c r="F361" s="42"/>
      <c r="G361" s="44"/>
      <c r="H361" s="144" t="s">
        <v>12</v>
      </c>
      <c r="I361" s="145"/>
      <c r="J361" s="145"/>
      <c r="K361" s="146"/>
      <c r="L361" s="48">
        <f ca="1">IFERROR(__xludf.DUMMYFUNCTION("IMPORTRANGE(""https://docs.google.com/spreadsheets/d/1-uDff_7J0KD5mKrp0Vvzr7lt3OU09vwQwhkpOPPYv2Y/edit?usp=sharing"",""งบพรบ!FC83"")"),225445)</f>
        <v>225445</v>
      </c>
      <c r="M361" s="48">
        <f ca="1">IFERROR(__xludf.DUMMYFUNCTION("IMPORTRANGE(""https://docs.google.com/spreadsheets/d/1-uDff_7J0KD5mKrp0Vvzr7lt3OU09vwQwhkpOPPYv2Y/edit?usp=sharing"",""งบพรบ!FH83"")"),173445)</f>
        <v>173445</v>
      </c>
      <c r="N361" s="48">
        <f ca="1">IFERROR(__xludf.DUMMYFUNCTION("IMPORTRANGE(""https://docs.google.com/spreadsheets/d/1-uDff_7J0KD5mKrp0Vvzr7lt3OU09vwQwhkpOPPYv2Y/edit?usp=sharing"",""งบพรบ!FJ83"")"),27880)</f>
        <v>27880</v>
      </c>
      <c r="O361" s="48">
        <f ca="1">IF(L361&gt;0,N361*100/L361,0)</f>
        <v>12.36665262037304</v>
      </c>
      <c r="P361" s="48">
        <f ca="1">IF(M361&gt;0,N361*100/M361,0)</f>
        <v>16.074259851826227</v>
      </c>
    </row>
    <row r="362" spans="1:16" ht="18.75" x14ac:dyDescent="0.25">
      <c r="A362" s="137"/>
      <c r="B362" s="42"/>
      <c r="C362" s="42"/>
      <c r="D362" s="43" t="s">
        <v>21</v>
      </c>
      <c r="E362" s="42"/>
      <c r="F362" s="42"/>
      <c r="G362" s="44"/>
      <c r="H362" s="148" t="s">
        <v>12</v>
      </c>
      <c r="I362" s="145"/>
      <c r="J362" s="145"/>
      <c r="K362" s="146"/>
      <c r="L362" s="48">
        <f ca="1">L363+L364</f>
        <v>0</v>
      </c>
      <c r="M362" s="48">
        <f ca="1">M363+M364</f>
        <v>0</v>
      </c>
      <c r="N362" s="48">
        <f ca="1">N363+N364</f>
        <v>0</v>
      </c>
      <c r="O362" s="48">
        <f ca="1">IF(L362&gt;0,N362*100/L362,0)</f>
        <v>0</v>
      </c>
      <c r="P362" s="48">
        <f ca="1">IF(M362&gt;0,N362*100/M362,0)</f>
        <v>0</v>
      </c>
    </row>
    <row r="363" spans="1:16" ht="18.75" hidden="1" x14ac:dyDescent="0.25">
      <c r="A363" s="137"/>
      <c r="B363" s="42"/>
      <c r="C363" s="42"/>
      <c r="D363" s="42"/>
      <c r="E363" s="296" t="s">
        <v>18</v>
      </c>
      <c r="F363" s="42"/>
      <c r="G363" s="44"/>
      <c r="H363" s="147" t="s">
        <v>12</v>
      </c>
      <c r="I363" s="145"/>
      <c r="J363" s="145"/>
      <c r="K363" s="146"/>
      <c r="L363" s="51">
        <v>0</v>
      </c>
      <c r="M363" s="51">
        <v>0</v>
      </c>
      <c r="N363" s="51">
        <v>0</v>
      </c>
      <c r="O363" s="51">
        <f>IF(L363&gt;0,N363*100/L363,0)</f>
        <v>0</v>
      </c>
      <c r="P363" s="51">
        <f>IF(M363&gt;0,N363*100/M363,0)</f>
        <v>0</v>
      </c>
    </row>
    <row r="364" spans="1:16" ht="18.75" x14ac:dyDescent="0.25">
      <c r="A364" s="137"/>
      <c r="B364" s="42"/>
      <c r="C364" s="42"/>
      <c r="D364" s="42"/>
      <c r="E364" s="52" t="s">
        <v>19</v>
      </c>
      <c r="F364" s="42"/>
      <c r="G364" s="44"/>
      <c r="H364" s="148" t="s">
        <v>12</v>
      </c>
      <c r="I364" s="145"/>
      <c r="J364" s="145"/>
      <c r="K364" s="146"/>
      <c r="L364" s="48">
        <f ca="1">IFERROR(__xludf.DUMMYFUNCTION("IMPORTRANGE(""https://docs.google.com/spreadsheets/d/1-uDff_7J0KD5mKrp0Vvzr7lt3OU09vwQwhkpOPPYv2Y/edit?usp=sharing"",""งบพรบ!FF83"")"),0)</f>
        <v>0</v>
      </c>
      <c r="M364" s="48">
        <f ca="1">IFERROR(__xludf.DUMMYFUNCTION("IMPORTRANGE(""https://docs.google.com/spreadsheets/d/1-uDff_7J0KD5mKrp0Vvzr7lt3OU09vwQwhkpOPPYv2Y/edit?usp=sharing"",""งบพรบ!FI83"")"),0)</f>
        <v>0</v>
      </c>
      <c r="N364" s="48">
        <f ca="1">IFERROR(__xludf.DUMMYFUNCTION("IMPORTRANGE(""https://docs.google.com/spreadsheets/d/1-uDff_7J0KD5mKrp0Vvzr7lt3OU09vwQwhkpOPPYv2Y/edit?usp=sharing"",""งบพรบ!FK83"")"),0)</f>
        <v>0</v>
      </c>
      <c r="O364" s="48">
        <f ca="1">IF(L364&gt;0,N364*100/L364,0)</f>
        <v>0</v>
      </c>
      <c r="P364" s="48">
        <f ca="1">IF(M364&gt;0,N364*100/M364,0)</f>
        <v>0</v>
      </c>
    </row>
    <row r="365" spans="1:16" ht="19.5" x14ac:dyDescent="0.3">
      <c r="A365" s="234"/>
      <c r="B365" s="235"/>
      <c r="C365" s="237"/>
      <c r="D365" s="474" t="s">
        <v>144</v>
      </c>
      <c r="E365" s="237"/>
      <c r="F365" s="237"/>
      <c r="G365" s="238"/>
      <c r="H365" s="246" t="s">
        <v>33</v>
      </c>
      <c r="I365" s="240">
        <f ca="1">I371</f>
        <v>26</v>
      </c>
      <c r="J365" s="240">
        <f ca="1">J371</f>
        <v>10</v>
      </c>
      <c r="K365" s="241">
        <f ca="1">IF(I365&gt;0,J365*100/I365,0)</f>
        <v>38.46153846153846</v>
      </c>
      <c r="L365" s="242"/>
      <c r="M365" s="242"/>
      <c r="N365" s="242"/>
      <c r="O365" s="242"/>
      <c r="P365" s="242"/>
    </row>
    <row r="366" spans="1:16" ht="19.5" x14ac:dyDescent="0.3">
      <c r="A366" s="149"/>
      <c r="B366" s="150"/>
      <c r="C366" s="198" t="s">
        <v>16</v>
      </c>
      <c r="D366" s="473" t="s">
        <v>36</v>
      </c>
      <c r="E366" s="152"/>
      <c r="F366" s="152"/>
      <c r="G366" s="153"/>
      <c r="H366" s="154"/>
      <c r="I366" s="46"/>
      <c r="J366" s="46"/>
      <c r="K366" s="47"/>
      <c r="L366" s="146"/>
      <c r="M366" s="146"/>
      <c r="N366" s="146"/>
      <c r="O366" s="146"/>
      <c r="P366" s="146"/>
    </row>
    <row r="367" spans="1:16" ht="18.75" x14ac:dyDescent="0.25">
      <c r="A367" s="149"/>
      <c r="B367" s="156"/>
      <c r="C367" s="150"/>
      <c r="D367" s="156"/>
      <c r="E367" s="155" t="s">
        <v>145</v>
      </c>
      <c r="F367" s="156"/>
      <c r="G367" s="154"/>
      <c r="H367" s="165" t="s">
        <v>33</v>
      </c>
      <c r="I367" s="170">
        <v>0</v>
      </c>
      <c r="J367" s="170">
        <f ca="1">IFERROR(__xludf.DUMMYFUNCTION("IMPORTRANGE(""https://docs.google.com/spreadsheets/d/1tdoBKaGub7dwA3U6UFTqxio9LNnvDCQjHKmttSEBsFQ/edit?usp=sharing"",""จัดที่ดิน!AB83"")"),8)</f>
        <v>8</v>
      </c>
      <c r="K367" s="48">
        <f>IF(I367&gt;0,J367*100/I367,0)</f>
        <v>0</v>
      </c>
      <c r="L367" s="146"/>
      <c r="M367" s="146"/>
      <c r="N367" s="146"/>
      <c r="O367" s="146"/>
      <c r="P367" s="146"/>
    </row>
    <row r="368" spans="1:16" ht="18.75" x14ac:dyDescent="0.25">
      <c r="A368" s="149"/>
      <c r="B368" s="156"/>
      <c r="C368" s="150"/>
      <c r="D368" s="156"/>
      <c r="E368" s="156"/>
      <c r="F368" s="156"/>
      <c r="G368" s="154"/>
      <c r="H368" s="165" t="s">
        <v>44</v>
      </c>
      <c r="I368" s="170">
        <f ca="1">IFERROR(__xludf.DUMMYFUNCTION("IMPORTRANGE(""https://docs.google.com/spreadsheets/d/1eHaY18a8A9IcSdp1K8H6x8fbOy06t2VsZHhMHf-1x7Y/edit?usp=sharing"",""แผน!EW83"")"),170)</f>
        <v>170</v>
      </c>
      <c r="J368" s="368">
        <f ca="1">IFERROR(__xludf.DUMMYFUNCTION("IMPORTRANGE(""https://docs.google.com/spreadsheets/d/1tdoBKaGub7dwA3U6UFTqxio9LNnvDCQjHKmttSEBsFQ/edit?usp=sharing"",""จัดที่ดิน!AC83"")"),30.61)</f>
        <v>30.61</v>
      </c>
      <c r="K368" s="48">
        <f ca="1">IF(I368&gt;0,J368*100/I368,0)</f>
        <v>18.005882352941178</v>
      </c>
      <c r="L368" s="146"/>
      <c r="M368" s="146"/>
      <c r="N368" s="146"/>
      <c r="O368" s="146"/>
      <c r="P368" s="146"/>
    </row>
    <row r="369" spans="1:16" ht="18.75" x14ac:dyDescent="0.25">
      <c r="A369" s="149"/>
      <c r="B369" s="156"/>
      <c r="C369" s="150"/>
      <c r="D369" s="156"/>
      <c r="E369" s="155" t="s">
        <v>146</v>
      </c>
      <c r="F369" s="156"/>
      <c r="G369" s="154"/>
      <c r="H369" s="251" t="s">
        <v>33</v>
      </c>
      <c r="I369" s="170">
        <f ca="1">IFERROR(__xludf.DUMMYFUNCTION("IMPORTRANGE(""https://docs.google.com/spreadsheets/d/1eHaY18a8A9IcSdp1K8H6x8fbOy06t2VsZHhMHf-1x7Y/edit?usp=sharing"",""แผน!EX83"")"),31)</f>
        <v>31</v>
      </c>
      <c r="J369" s="170">
        <f ca="1">IFERROR(__xludf.DUMMYFUNCTION("IMPORTRANGE(""https://docs.google.com/spreadsheets/d/1tdoBKaGub7dwA3U6UFTqxio9LNnvDCQjHKmttSEBsFQ/edit?usp=sharing"",""จัดที่ดิน!AD83"")"),10)</f>
        <v>10</v>
      </c>
      <c r="K369" s="48">
        <f ca="1">IF(I369&gt;0,J369*100/I369,0)</f>
        <v>32.258064516129032</v>
      </c>
      <c r="L369" s="146"/>
      <c r="M369" s="146"/>
      <c r="N369" s="146"/>
      <c r="O369" s="146"/>
      <c r="P369" s="146"/>
    </row>
    <row r="370" spans="1:16" ht="18.75" x14ac:dyDescent="0.25">
      <c r="A370" s="149"/>
      <c r="B370" s="156"/>
      <c r="C370" s="150"/>
      <c r="D370" s="156"/>
      <c r="E370" s="156"/>
      <c r="F370" s="156"/>
      <c r="G370" s="154"/>
      <c r="H370" s="251" t="s">
        <v>44</v>
      </c>
      <c r="I370" s="170">
        <v>0</v>
      </c>
      <c r="J370" s="368">
        <f ca="1">IFERROR(__xludf.DUMMYFUNCTION("IMPORTRANGE(""https://docs.google.com/spreadsheets/d/1tdoBKaGub7dwA3U6UFTqxio9LNnvDCQjHKmttSEBsFQ/edit?usp=sharing"",""จัดที่ดิน!AE83"")"),47.39)</f>
        <v>47.39</v>
      </c>
      <c r="K370" s="48">
        <f>IF(I370&gt;0,J370*100/I370,0)</f>
        <v>0</v>
      </c>
      <c r="L370" s="146"/>
      <c r="M370" s="146"/>
      <c r="N370" s="146"/>
      <c r="O370" s="146"/>
      <c r="P370" s="146"/>
    </row>
    <row r="371" spans="1:16" ht="18.75" x14ac:dyDescent="0.25">
      <c r="A371" s="149"/>
      <c r="B371" s="156"/>
      <c r="C371" s="150"/>
      <c r="D371" s="156"/>
      <c r="E371" s="155" t="s">
        <v>147</v>
      </c>
      <c r="F371" s="156"/>
      <c r="G371" s="154"/>
      <c r="H371" s="251" t="s">
        <v>33</v>
      </c>
      <c r="I371" s="170">
        <f ca="1">IFERROR(__xludf.DUMMYFUNCTION("IMPORTRANGE(""https://docs.google.com/spreadsheets/d/1eHaY18a8A9IcSdp1K8H6x8fbOy06t2VsZHhMHf-1x7Y/edit?usp=sharing"",""แผน!EY83"")"),26)</f>
        <v>26</v>
      </c>
      <c r="J371" s="170">
        <f ca="1">IFERROR(__xludf.DUMMYFUNCTION("IMPORTRANGE(""https://docs.google.com/spreadsheets/d/1tdoBKaGub7dwA3U6UFTqxio9LNnvDCQjHKmttSEBsFQ/edit?usp=sharing"",""จัดที่ดิน!AF83"")"),10)</f>
        <v>10</v>
      </c>
      <c r="K371" s="48">
        <f ca="1">IF(I371&gt;0,J371*100/I371,0)</f>
        <v>38.46153846153846</v>
      </c>
      <c r="L371" s="146"/>
      <c r="M371" s="146"/>
      <c r="N371" s="146"/>
      <c r="O371" s="146"/>
      <c r="P371" s="146"/>
    </row>
    <row r="372" spans="1:16" ht="18.75" x14ac:dyDescent="0.25">
      <c r="A372" s="149"/>
      <c r="B372" s="156"/>
      <c r="C372" s="150"/>
      <c r="D372" s="156"/>
      <c r="E372" s="156"/>
      <c r="F372" s="156"/>
      <c r="G372" s="154"/>
      <c r="H372" s="251" t="s">
        <v>44</v>
      </c>
      <c r="I372" s="170">
        <v>0</v>
      </c>
      <c r="J372" s="368">
        <f ca="1">IFERROR(__xludf.DUMMYFUNCTION("IMPORTRANGE(""https://docs.google.com/spreadsheets/d/1tdoBKaGub7dwA3U6UFTqxio9LNnvDCQjHKmttSEBsFQ/edit?usp=sharing"",""จัดที่ดิน!AG83"")"),47.39)</f>
        <v>47.39</v>
      </c>
      <c r="K372" s="48">
        <f>IF(I372&gt;0,J372*100/I372,0)</f>
        <v>0</v>
      </c>
      <c r="L372" s="146"/>
      <c r="M372" s="146"/>
      <c r="N372" s="146"/>
      <c r="O372" s="146"/>
      <c r="P372" s="146"/>
    </row>
    <row r="373" spans="1:16" ht="16.5" x14ac:dyDescent="0.25">
      <c r="A373" s="2"/>
      <c r="B373" s="1"/>
      <c r="C373" s="2"/>
      <c r="D373" s="369" t="str">
        <f ca="1">IFERROR(__xludf.DUMMYFUNCTION("IMPORTRANGE(""https://docs.google.com/spreadsheets/d/1gNPQPjxUj63ZZXIIIm2aX4x3w7PhAZpC9JuXdbpWwUQ/edit?usp=sharing"",""Sheet1!b4"")"),"#REF!")</f>
        <v>#REF!</v>
      </c>
      <c r="E373" s="1"/>
      <c r="F373" s="1"/>
      <c r="G373" s="55"/>
      <c r="H373" s="55"/>
      <c r="I373" s="57"/>
      <c r="J373" s="57"/>
      <c r="K373" s="58"/>
      <c r="L373" s="58"/>
      <c r="M373" s="58"/>
      <c r="N373" s="58"/>
      <c r="O373" s="58"/>
      <c r="P373" s="58"/>
    </row>
    <row r="374" spans="1:16" ht="19.5" hidden="1" x14ac:dyDescent="0.3">
      <c r="A374" s="472" t="s">
        <v>148</v>
      </c>
      <c r="B374" s="471"/>
      <c r="C374" s="471"/>
      <c r="D374" s="471"/>
      <c r="E374" s="470"/>
      <c r="F374" s="470"/>
      <c r="G374" s="470"/>
      <c r="H374" s="470"/>
      <c r="I374" s="469"/>
      <c r="J374" s="469"/>
      <c r="K374" s="468"/>
      <c r="L374" s="468"/>
      <c r="M374" s="468"/>
      <c r="N374" s="468"/>
      <c r="O374" s="468"/>
      <c r="P374" s="467"/>
    </row>
    <row r="375" spans="1:16" ht="19.5" hidden="1" x14ac:dyDescent="0.3">
      <c r="A375" s="466" t="s">
        <v>149</v>
      </c>
      <c r="B375" s="464"/>
      <c r="C375" s="464"/>
      <c r="D375" s="465"/>
      <c r="E375" s="464"/>
      <c r="F375" s="464"/>
      <c r="G375" s="464"/>
      <c r="H375" s="463"/>
      <c r="I375" s="462"/>
      <c r="J375" s="462"/>
      <c r="K375" s="461"/>
      <c r="L375" s="461"/>
      <c r="M375" s="461"/>
      <c r="N375" s="461"/>
      <c r="O375" s="461"/>
      <c r="P375" s="461"/>
    </row>
    <row r="376" spans="1:16" ht="19.5" hidden="1" x14ac:dyDescent="0.3">
      <c r="A376" s="460"/>
      <c r="B376" s="459" t="s">
        <v>150</v>
      </c>
      <c r="C376" s="458"/>
      <c r="D376" s="457"/>
      <c r="E376" s="457"/>
      <c r="F376" s="457"/>
      <c r="G376" s="456"/>
      <c r="H376" s="455" t="s">
        <v>54</v>
      </c>
      <c r="I376" s="454">
        <f>I388</f>
        <v>0</v>
      </c>
      <c r="J376" s="454">
        <f>J388</f>
        <v>0</v>
      </c>
      <c r="K376" s="453">
        <f>IF(I376&gt;0,J376*100/I376,0)</f>
        <v>0</v>
      </c>
      <c r="L376" s="452"/>
      <c r="M376" s="452"/>
      <c r="N376" s="452"/>
      <c r="O376" s="452"/>
      <c r="P376" s="452"/>
    </row>
    <row r="377" spans="1:16" ht="19.5" hidden="1" x14ac:dyDescent="0.3">
      <c r="A377" s="137"/>
      <c r="B377" s="42"/>
      <c r="C377" s="264" t="s">
        <v>16</v>
      </c>
      <c r="D377" s="265" t="s">
        <v>17</v>
      </c>
      <c r="E377" s="42"/>
      <c r="F377" s="42"/>
      <c r="G377" s="44"/>
      <c r="H377" s="294" t="s">
        <v>12</v>
      </c>
      <c r="I377" s="46"/>
      <c r="J377" s="46"/>
      <c r="K377" s="47"/>
      <c r="L377" s="270">
        <f ca="1">L378+L379</f>
        <v>0</v>
      </c>
      <c r="M377" s="270">
        <f ca="1">M378+M379</f>
        <v>0</v>
      </c>
      <c r="N377" s="270">
        <f ca="1">N378+N379</f>
        <v>0</v>
      </c>
      <c r="O377" s="270">
        <f ca="1">IF(L377&gt;0,N377*100/L377,0)</f>
        <v>0</v>
      </c>
      <c r="P377" s="270">
        <f ca="1">IF(M377&gt;0,N377*100/M377,0)</f>
        <v>0</v>
      </c>
    </row>
    <row r="378" spans="1:16" ht="18.75" hidden="1" x14ac:dyDescent="0.25">
      <c r="A378" s="137"/>
      <c r="B378" s="42"/>
      <c r="C378" s="42"/>
      <c r="D378" s="42"/>
      <c r="E378" s="296" t="s">
        <v>18</v>
      </c>
      <c r="F378" s="42"/>
      <c r="G378" s="44"/>
      <c r="H378" s="142" t="s">
        <v>12</v>
      </c>
      <c r="I378" s="46"/>
      <c r="J378" s="46"/>
      <c r="K378" s="47"/>
      <c r="L378" s="51">
        <f>L381+L384</f>
        <v>0</v>
      </c>
      <c r="M378" s="51">
        <f>M381+M384</f>
        <v>0</v>
      </c>
      <c r="N378" s="51">
        <f>N381+N384</f>
        <v>0</v>
      </c>
      <c r="O378" s="51">
        <f>IF(L378&gt;0,N378*100/L378,0)</f>
        <v>0</v>
      </c>
      <c r="P378" s="51">
        <f>IF(M378&gt;0,N378*100/M378,0)</f>
        <v>0</v>
      </c>
    </row>
    <row r="379" spans="1:16" ht="18.75" hidden="1" x14ac:dyDescent="0.25">
      <c r="A379" s="137"/>
      <c r="B379" s="42"/>
      <c r="C379" s="42"/>
      <c r="D379" s="42"/>
      <c r="E379" s="296" t="s">
        <v>19</v>
      </c>
      <c r="F379" s="42"/>
      <c r="G379" s="44"/>
      <c r="H379" s="142" t="s">
        <v>12</v>
      </c>
      <c r="I379" s="46"/>
      <c r="J379" s="46"/>
      <c r="K379" s="47"/>
      <c r="L379" s="51">
        <f ca="1">L382+L385</f>
        <v>0</v>
      </c>
      <c r="M379" s="51">
        <f ca="1">M382+M385</f>
        <v>0</v>
      </c>
      <c r="N379" s="51">
        <f ca="1">N382+N385</f>
        <v>0</v>
      </c>
      <c r="O379" s="51">
        <f ca="1">IF(L379&gt;0,N379*100/L379,0)</f>
        <v>0</v>
      </c>
      <c r="P379" s="51">
        <f ca="1">IF(M379&gt;0,N379*100/M379,0)</f>
        <v>0</v>
      </c>
    </row>
    <row r="380" spans="1:16" ht="18.75" hidden="1" x14ac:dyDescent="0.25">
      <c r="A380" s="137"/>
      <c r="B380" s="42"/>
      <c r="C380" s="42"/>
      <c r="D380" s="295" t="s">
        <v>20</v>
      </c>
      <c r="E380" s="42"/>
      <c r="F380" s="42"/>
      <c r="G380" s="44"/>
      <c r="H380" s="147" t="s">
        <v>12</v>
      </c>
      <c r="I380" s="145"/>
      <c r="J380" s="145"/>
      <c r="K380" s="146"/>
      <c r="L380" s="51">
        <f ca="1">L381+L382</f>
        <v>0</v>
      </c>
      <c r="M380" s="51">
        <f ca="1">M381+M382</f>
        <v>0</v>
      </c>
      <c r="N380" s="51">
        <f ca="1">N381+N382</f>
        <v>0</v>
      </c>
      <c r="O380" s="51">
        <f ca="1">IF(L380&gt;0,N380*100/L380,0)</f>
        <v>0</v>
      </c>
      <c r="P380" s="51">
        <f ca="1">IF(M380&gt;0,N380*100/M380,0)</f>
        <v>0</v>
      </c>
    </row>
    <row r="381" spans="1:16" ht="18.75" hidden="1" x14ac:dyDescent="0.25">
      <c r="A381" s="137"/>
      <c r="B381" s="42"/>
      <c r="C381" s="42"/>
      <c r="D381" s="42"/>
      <c r="E381" s="296" t="s">
        <v>34</v>
      </c>
      <c r="F381" s="42"/>
      <c r="G381" s="44"/>
      <c r="H381" s="147" t="s">
        <v>12</v>
      </c>
      <c r="I381" s="145"/>
      <c r="J381" s="145"/>
      <c r="K381" s="146"/>
      <c r="L381" s="51">
        <v>0</v>
      </c>
      <c r="M381" s="51">
        <v>0</v>
      </c>
      <c r="N381" s="51">
        <v>0</v>
      </c>
      <c r="O381" s="51">
        <f>IF(L381&gt;0,N381*100/L381,0)</f>
        <v>0</v>
      </c>
      <c r="P381" s="51">
        <f>IF(M381&gt;0,N381*100/M381,0)</f>
        <v>0</v>
      </c>
    </row>
    <row r="382" spans="1:16" ht="18.75" hidden="1" x14ac:dyDescent="0.25">
      <c r="A382" s="137"/>
      <c r="B382" s="42"/>
      <c r="C382" s="42"/>
      <c r="D382" s="42"/>
      <c r="E382" s="296" t="s">
        <v>35</v>
      </c>
      <c r="F382" s="42"/>
      <c r="G382" s="44"/>
      <c r="H382" s="147" t="s">
        <v>12</v>
      </c>
      <c r="I382" s="145"/>
      <c r="J382" s="145"/>
      <c r="K382" s="146"/>
      <c r="L382" s="51">
        <f ca="1">IFERROR(__xludf.DUMMYFUNCTION("IMPORTRANGE(""https://docs.google.com/spreadsheets/d/1-uDff_7J0KD5mKrp0Vvzr7lt3OU09vwQwhkpOPPYv2Y/edit?usp=sharing"",""งบพรบ!FM83"")"),0)</f>
        <v>0</v>
      </c>
      <c r="M382" s="51">
        <f ca="1">IFERROR(__xludf.DUMMYFUNCTION("IMPORTRANGE(""https://docs.google.com/spreadsheets/d/1-uDff_7J0KD5mKrp0Vvzr7lt3OU09vwQwhkpOPPYv2Y/edit?usp=sharing"",""งบพรบ!FR83"")"),0)</f>
        <v>0</v>
      </c>
      <c r="N382" s="51">
        <f ca="1">IFERROR(__xludf.DUMMYFUNCTION("IMPORTRANGE(""https://docs.google.com/spreadsheets/d/1-uDff_7J0KD5mKrp0Vvzr7lt3OU09vwQwhkpOPPYv2Y/edit?usp=sharing"",""งบพรบ!FT83"")"),0)</f>
        <v>0</v>
      </c>
      <c r="O382" s="51">
        <f ca="1">IF(L382&gt;0,N382*100/L382,0)</f>
        <v>0</v>
      </c>
      <c r="P382" s="51">
        <f ca="1">IF(M382&gt;0,N382*100/M382,0)</f>
        <v>0</v>
      </c>
    </row>
    <row r="383" spans="1:16" ht="18.75" hidden="1" x14ac:dyDescent="0.25">
      <c r="A383" s="137"/>
      <c r="B383" s="42"/>
      <c r="C383" s="42"/>
      <c r="D383" s="295" t="s">
        <v>21</v>
      </c>
      <c r="E383" s="42"/>
      <c r="F383" s="42"/>
      <c r="G383" s="44"/>
      <c r="H383" s="200" t="s">
        <v>12</v>
      </c>
      <c r="I383" s="145"/>
      <c r="J383" s="145"/>
      <c r="K383" s="146"/>
      <c r="L383" s="51">
        <f ca="1">L384+L385</f>
        <v>0</v>
      </c>
      <c r="M383" s="51">
        <f ca="1">M384+M385</f>
        <v>0</v>
      </c>
      <c r="N383" s="51">
        <f ca="1">N384+N385</f>
        <v>0</v>
      </c>
      <c r="O383" s="51">
        <f ca="1">IF(L383&gt;0,N383*100/L383,0)</f>
        <v>0</v>
      </c>
      <c r="P383" s="51">
        <f ca="1">IF(M383&gt;0,N383*100/M383,0)</f>
        <v>0</v>
      </c>
    </row>
    <row r="384" spans="1:16" ht="18.75" hidden="1" x14ac:dyDescent="0.25">
      <c r="A384" s="137"/>
      <c r="B384" s="42"/>
      <c r="C384" s="42"/>
      <c r="D384" s="42"/>
      <c r="E384" s="296" t="s">
        <v>18</v>
      </c>
      <c r="F384" s="42"/>
      <c r="G384" s="44"/>
      <c r="H384" s="147" t="s">
        <v>12</v>
      </c>
      <c r="I384" s="145"/>
      <c r="J384" s="145"/>
      <c r="K384" s="146"/>
      <c r="L384" s="51">
        <v>0</v>
      </c>
      <c r="M384" s="51">
        <v>0</v>
      </c>
      <c r="N384" s="51">
        <v>0</v>
      </c>
      <c r="O384" s="51">
        <f>IF(L384&gt;0,N384*100/L384,0)</f>
        <v>0</v>
      </c>
      <c r="P384" s="51">
        <f>IF(M384&gt;0,N384*100/M384,0)</f>
        <v>0</v>
      </c>
    </row>
    <row r="385" spans="1:16" ht="18.75" hidden="1" x14ac:dyDescent="0.25">
      <c r="A385" s="137"/>
      <c r="B385" s="42"/>
      <c r="C385" s="42"/>
      <c r="D385" s="42"/>
      <c r="E385" s="296" t="s">
        <v>19</v>
      </c>
      <c r="F385" s="42"/>
      <c r="G385" s="44"/>
      <c r="H385" s="200" t="s">
        <v>12</v>
      </c>
      <c r="I385" s="145"/>
      <c r="J385" s="145"/>
      <c r="K385" s="146"/>
      <c r="L385" s="51">
        <f ca="1">IFERROR(__xludf.DUMMYFUNCTION("IMPORTRANGE(""https://docs.google.com/spreadsheets/d/1-uDff_7J0KD5mKrp0Vvzr7lt3OU09vwQwhkpOPPYv2Y/edit?usp=sharing"",""งบพรบ!FP83"")"),0)</f>
        <v>0</v>
      </c>
      <c r="M385" s="51">
        <f ca="1">IFERROR(__xludf.DUMMYFUNCTION("IMPORTRANGE(""https://docs.google.com/spreadsheets/d/1-uDff_7J0KD5mKrp0Vvzr7lt3OU09vwQwhkpOPPYv2Y/edit?usp=sharing"",""งบพรบ!FS83"")"),0)</f>
        <v>0</v>
      </c>
      <c r="N385" s="51">
        <f ca="1">IFERROR(__xludf.DUMMYFUNCTION("IMPORTRANGE(""https://docs.google.com/spreadsheets/d/1-uDff_7J0KD5mKrp0Vvzr7lt3OU09vwQwhkpOPPYv2Y/edit?usp=sharing"",""งบพรบ!FU83"")"),0)</f>
        <v>0</v>
      </c>
      <c r="O385" s="51">
        <f ca="1">IF(L385&gt;0,N385*100/L385,0)</f>
        <v>0</v>
      </c>
      <c r="P385" s="51">
        <f ca="1">IF(M385&gt;0,N385*100/M385,0)</f>
        <v>0</v>
      </c>
    </row>
    <row r="386" spans="1:16" ht="19.5" hidden="1" x14ac:dyDescent="0.3">
      <c r="A386" s="149"/>
      <c r="B386" s="150"/>
      <c r="C386" s="264" t="s">
        <v>16</v>
      </c>
      <c r="D386" s="451" t="s">
        <v>36</v>
      </c>
      <c r="E386" s="152"/>
      <c r="F386" s="152"/>
      <c r="G386" s="153"/>
      <c r="H386" s="154"/>
      <c r="I386" s="145"/>
      <c r="J386" s="46"/>
      <c r="K386" s="47"/>
      <c r="L386" s="47"/>
      <c r="M386" s="47"/>
      <c r="N386" s="47"/>
      <c r="O386" s="146"/>
      <c r="P386" s="146"/>
    </row>
    <row r="387" spans="1:16" ht="18.75" hidden="1" x14ac:dyDescent="0.25">
      <c r="A387" s="228"/>
      <c r="B387" s="42"/>
      <c r="C387" s="229"/>
      <c r="D387" s="282" t="s">
        <v>151</v>
      </c>
      <c r="E387" s="150"/>
      <c r="F387" s="42"/>
      <c r="G387" s="44"/>
      <c r="H387" s="233" t="s">
        <v>9</v>
      </c>
      <c r="I387" s="201">
        <v>0</v>
      </c>
      <c r="J387" s="202">
        <v>0</v>
      </c>
      <c r="K387" s="51">
        <f>IF(I387&gt;0,J387*100/I387,0)</f>
        <v>0</v>
      </c>
      <c r="L387" s="47"/>
      <c r="M387" s="47"/>
      <c r="N387" s="47"/>
      <c r="O387" s="47"/>
      <c r="P387" s="47"/>
    </row>
    <row r="388" spans="1:16" ht="18.75" hidden="1" x14ac:dyDescent="0.25">
      <c r="A388" s="450"/>
      <c r="B388" s="1"/>
      <c r="C388" s="2"/>
      <c r="D388" s="449" t="s">
        <v>152</v>
      </c>
      <c r="E388" s="298"/>
      <c r="F388" s="1"/>
      <c r="G388" s="55"/>
      <c r="H388" s="448" t="s">
        <v>54</v>
      </c>
      <c r="I388" s="206">
        <v>0</v>
      </c>
      <c r="J388" s="207">
        <v>0</v>
      </c>
      <c r="K388" s="208">
        <f>IF(I388&gt;0,J388*100/I388,0)</f>
        <v>0</v>
      </c>
      <c r="L388" s="58"/>
      <c r="M388" s="58"/>
      <c r="N388" s="58"/>
      <c r="O388" s="58"/>
      <c r="P388" s="58"/>
    </row>
    <row r="389" spans="1:16" ht="12.7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</row>
    <row r="390" spans="1:16" ht="16.5" x14ac:dyDescent="0.25">
      <c r="A390" s="431" t="s">
        <v>153</v>
      </c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</row>
    <row r="391" spans="1:16" ht="16.5" x14ac:dyDescent="0.25">
      <c r="A391" s="431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"",IMPORTRANGE(""https://docs.google.com/spreadsheets/d/1gNPQPjxUj63ZZXIIIm2aX4x3w7PhAZpC9JuXdbpWwUQ/edit?usp=sharing"",""Sheet1!b1""))"),"#REF!")</f>
        <v>#REF!</v>
      </c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</row>
  </sheetData>
  <mergeCells count="12">
    <mergeCell ref="A7:G7"/>
    <mergeCell ref="A17:G17"/>
    <mergeCell ref="A30:G30"/>
    <mergeCell ref="A56:G56"/>
    <mergeCell ref="B57:G57"/>
    <mergeCell ref="A1:P1"/>
    <mergeCell ref="A2:P2"/>
    <mergeCell ref="A3:P3"/>
    <mergeCell ref="L5:M5"/>
    <mergeCell ref="N5:P5"/>
    <mergeCell ref="A5:G6"/>
    <mergeCell ref="I5:K5"/>
  </mergeCells>
  <pageMargins left="0.23622047244094491" right="0.23622047244094491" top="0.55118110236220474" bottom="0.55118110236220474" header="0.31496062992125984" footer="0.31496062992125984"/>
  <pageSetup paperSize="9" scale="44" orientation="portrait" r:id="rId1"/>
  <headerFooter>
    <oddFooter>&amp;Cหน้า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กระบี่</vt:lpstr>
      <vt:lpstr>ชุมพร</vt:lpstr>
      <vt:lpstr>ตรัง</vt:lpstr>
      <vt:lpstr>นครศรีธรรมราช</vt:lpstr>
      <vt:lpstr>นราธิวาส</vt:lpstr>
      <vt:lpstr>ปัตตานี</vt:lpstr>
      <vt:lpstr>พังงา</vt:lpstr>
      <vt:lpstr>พัทลุง</vt:lpstr>
      <vt:lpstr>ภูเก็ต</vt:lpstr>
      <vt:lpstr>ยะลา</vt:lpstr>
      <vt:lpstr>ระนอง</vt:lpstr>
      <vt:lpstr>สงขลา</vt:lpstr>
      <vt:lpstr>สตูล</vt:lpstr>
      <vt:lpstr>สุราษฎร์ธานี</vt:lpstr>
      <vt:lpstr>กระบี่!Print_Titles</vt:lpstr>
      <vt:lpstr>ชุมพร!Print_Titles</vt:lpstr>
      <vt:lpstr>ตรัง!Print_Titles</vt:lpstr>
      <vt:lpstr>นครศรีธรรมราช!Print_Titles</vt:lpstr>
      <vt:lpstr>นราธิวาส!Print_Titles</vt:lpstr>
      <vt:lpstr>ปัตตานี!Print_Titles</vt:lpstr>
      <vt:lpstr>พังงา!Print_Titles</vt:lpstr>
      <vt:lpstr>พัทลุง!Print_Titles</vt:lpstr>
      <vt:lpstr>ภูเก็ต!Print_Titles</vt:lpstr>
      <vt:lpstr>ยะลา!Print_Titles</vt:lpstr>
      <vt:lpstr>ระนอง!Print_Titles</vt:lpstr>
      <vt:lpstr>สงขลา!Print_Titles</vt:lpstr>
      <vt:lpstr>สตูล!Print_Titles</vt:lpstr>
      <vt:lpstr>สุราษฎร์ธานี!Print_Titles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2023-12-27T01:54:38Z</dcterms:created>
  <dcterms:modified xsi:type="dcterms:W3CDTF">2023-12-27T01:59:45Z</dcterms:modified>
</cp:coreProperties>
</file>